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6"/>
  </bookViews>
  <sheets>
    <sheet name="титул" sheetId="1" r:id="rId1"/>
    <sheet name="пунк 2 и табл1" sheetId="2" r:id="rId2"/>
    <sheet name="пункты 3 и 4" sheetId="3" r:id="rId3"/>
    <sheet name="табл 2 и 3" sheetId="4" r:id="rId4"/>
    <sheet name="внебюдж" sheetId="5" r:id="rId5"/>
    <sheet name="бюдж" sheetId="6" r:id="rId6"/>
    <sheet name="свод" sheetId="7" r:id="rId7"/>
  </sheets>
  <definedNames/>
  <calcPr fullCalcOnLoad="1"/>
</workbook>
</file>

<file path=xl/comments2.xml><?xml version="1.0" encoding="utf-8"?>
<comments xmlns="http://schemas.openxmlformats.org/spreadsheetml/2006/main">
  <authors>
    <author>МДОУ 5 Кэскил</author>
    <author>Бухгалтер</author>
  </authors>
  <commentList>
    <comment ref="E20" authorId="0">
      <text>
        <r>
          <rPr>
            <b/>
            <sz val="10"/>
            <rFont val="Tahoma"/>
            <family val="2"/>
          </rPr>
          <t>МДОУ 5 Кэскил:</t>
        </r>
        <r>
          <rPr>
            <sz val="10"/>
            <rFont val="Tahoma"/>
            <family val="2"/>
          </rPr>
          <t xml:space="preserve">
поставила всю сумму движимого ОС</t>
        </r>
      </text>
    </comment>
    <comment ref="E18" authorId="0">
      <text>
        <r>
          <rPr>
            <b/>
            <sz val="10"/>
            <rFont val="Tahoma"/>
            <family val="2"/>
          </rPr>
          <t>МДОУ 5 Кэскил:</t>
        </r>
        <r>
          <rPr>
            <sz val="10"/>
            <rFont val="Tahoma"/>
            <family val="2"/>
          </rPr>
          <t xml:space="preserve">
поставила за минусом суммы зданий и особоценного имущества</t>
        </r>
      </text>
    </comment>
    <comment ref="E17" authorId="1">
      <text>
        <r>
          <rPr>
            <b/>
            <sz val="8"/>
            <rFont val="Tahoma"/>
            <family val="2"/>
          </rPr>
          <t>Бухгалтер:</t>
        </r>
        <r>
          <rPr>
            <sz val="8"/>
            <rFont val="Tahoma"/>
            <family val="2"/>
          </rPr>
          <t xml:space="preserve">
поставила особоценное + иное</t>
        </r>
      </text>
    </comment>
  </commentList>
</comments>
</file>

<file path=xl/comments4.xml><?xml version="1.0" encoding="utf-8"?>
<comments xmlns="http://schemas.openxmlformats.org/spreadsheetml/2006/main">
  <authors>
    <author>Бухгалтер</author>
    <author>Валентина</author>
  </authors>
  <commentList>
    <comment ref="B20" authorId="0">
      <text>
        <r>
          <rPr>
            <b/>
            <sz val="8"/>
            <rFont val="Tahoma"/>
            <family val="2"/>
          </rPr>
          <t>Бухгалтер:</t>
        </r>
        <r>
          <rPr>
            <sz val="8"/>
            <rFont val="Tahoma"/>
            <family val="2"/>
          </rPr>
          <t xml:space="preserve">
род.взнос</t>
        </r>
      </text>
    </comment>
    <comment ref="D20" authorId="1">
      <text>
        <r>
          <rPr>
            <b/>
            <sz val="9"/>
            <rFont val="Tahoma"/>
            <family val="2"/>
          </rPr>
          <t>Валентина:</t>
        </r>
        <r>
          <rPr>
            <sz val="9"/>
            <rFont val="Tahoma"/>
            <family val="2"/>
          </rPr>
          <t xml:space="preserve">
75*9000=675000
33600</t>
        </r>
      </text>
    </comment>
    <comment ref="B22" authorId="0">
      <text>
        <r>
          <rPr>
            <b/>
            <sz val="8"/>
            <rFont val="Tahoma"/>
            <family val="2"/>
          </rPr>
          <t>Бухгалтер:</t>
        </r>
        <r>
          <rPr>
            <sz val="8"/>
            <rFont val="Tahoma"/>
            <family val="2"/>
          </rPr>
          <t xml:space="preserve">
ед.пожертвование на игрушки</t>
        </r>
      </text>
    </comment>
    <comment ref="D22" authorId="0">
      <text>
        <r>
          <rPr>
            <b/>
            <sz val="8"/>
            <rFont val="Tahoma"/>
            <family val="2"/>
          </rPr>
          <t>Бухгалтер:</t>
        </r>
        <r>
          <rPr>
            <sz val="8"/>
            <rFont val="Tahoma"/>
            <family val="2"/>
          </rPr>
          <t xml:space="preserve">
един.пожертв.на игрушки</t>
        </r>
      </text>
    </comment>
    <comment ref="D25" authorId="0">
      <text>
        <r>
          <rPr>
            <b/>
            <sz val="8"/>
            <rFont val="Tahoma"/>
            <family val="2"/>
          </rPr>
          <t>Бухгалтер:</t>
        </r>
        <r>
          <rPr>
            <sz val="8"/>
            <rFont val="Tahoma"/>
            <family val="2"/>
          </rPr>
          <t xml:space="preserve">
ФОТ/на всего доходы</t>
        </r>
      </text>
    </comment>
    <comment ref="D18" authorId="0">
      <text>
        <r>
          <rPr>
            <b/>
            <sz val="8"/>
            <rFont val="Tahoma"/>
            <family val="2"/>
          </rPr>
          <t>Бухгалтер:</t>
        </r>
        <r>
          <rPr>
            <sz val="8"/>
            <rFont val="Tahoma"/>
            <family val="2"/>
          </rPr>
          <t xml:space="preserve">
доход по бюджету/детодни</t>
        </r>
      </text>
    </comment>
    <comment ref="D21" authorId="0">
      <text>
        <r>
          <rPr>
            <b/>
            <sz val="8"/>
            <rFont val="Tahoma"/>
            <family val="2"/>
          </rPr>
          <t>Бухгалтер:</t>
        </r>
        <r>
          <rPr>
            <sz val="8"/>
            <rFont val="Tahoma"/>
            <family val="2"/>
          </rPr>
          <t xml:space="preserve">
доход по предпринимательской/дето-дни</t>
        </r>
      </text>
    </comment>
    <comment ref="D24" authorId="0">
      <text>
        <r>
          <rPr>
            <b/>
            <sz val="8"/>
            <rFont val="Tahoma"/>
            <family val="2"/>
          </rPr>
          <t>Бухгалтер:</t>
        </r>
        <r>
          <rPr>
            <sz val="8"/>
            <rFont val="Tahoma"/>
            <family val="2"/>
          </rPr>
          <t xml:space="preserve">
211/кол-во работников</t>
        </r>
      </text>
    </comment>
  </commentList>
</comments>
</file>

<file path=xl/comments5.xml><?xml version="1.0" encoding="utf-8"?>
<comments xmlns="http://schemas.openxmlformats.org/spreadsheetml/2006/main">
  <authors>
    <author>Бухгалтер</author>
    <author>Валентина</author>
  </authors>
  <commentList>
    <comment ref="G48" authorId="0">
      <text>
        <r>
          <rPr>
            <b/>
            <sz val="8"/>
            <rFont val="Tahoma"/>
            <family val="2"/>
          </rPr>
          <t>Бухгалтер:</t>
        </r>
        <r>
          <rPr>
            <sz val="8"/>
            <rFont val="Tahoma"/>
            <family val="2"/>
          </rPr>
          <t xml:space="preserve">
един.пожертв.на игрушки</t>
        </r>
      </text>
    </comment>
    <comment ref="E48" authorId="0">
      <text>
        <r>
          <rPr>
            <b/>
            <sz val="8"/>
            <rFont val="Tahoma"/>
            <family val="2"/>
          </rPr>
          <t>Бухгалтер:</t>
        </r>
        <r>
          <rPr>
            <sz val="8"/>
            <rFont val="Tahoma"/>
            <family val="2"/>
          </rPr>
          <t xml:space="preserve">
ед.пожертвование на игрушки</t>
        </r>
      </text>
    </comment>
    <comment ref="G46" authorId="1">
      <text>
        <r>
          <rPr>
            <b/>
            <sz val="9"/>
            <rFont val="Tahoma"/>
            <family val="2"/>
          </rPr>
          <t>Валентина:</t>
        </r>
        <r>
          <rPr>
            <sz val="9"/>
            <rFont val="Tahoma"/>
            <family val="2"/>
          </rPr>
          <t xml:space="preserve">
янв 800*65=52000
с февр 75,00
6285 детодней*75=471375
Итого 523375</t>
        </r>
      </text>
    </comment>
    <comment ref="E46" authorId="0">
      <text>
        <r>
          <rPr>
            <b/>
            <sz val="8"/>
            <rFont val="Tahoma"/>
            <family val="2"/>
          </rPr>
          <t>Бухгалтер:</t>
        </r>
        <r>
          <rPr>
            <sz val="8"/>
            <rFont val="Tahoma"/>
            <family val="2"/>
          </rPr>
          <t xml:space="preserve">
род.взнос</t>
        </r>
      </text>
    </comment>
    <comment ref="G42" authorId="0">
      <text>
        <r>
          <rPr>
            <b/>
            <sz val="8"/>
            <rFont val="Tahoma"/>
            <family val="2"/>
          </rPr>
          <t>Бухгалтер:</t>
        </r>
        <r>
          <rPr>
            <sz val="8"/>
            <rFont val="Tahoma"/>
            <family val="2"/>
          </rPr>
          <t xml:space="preserve">
компенсация род взноса вместе с услогой банка</t>
        </r>
      </text>
    </comment>
    <comment ref="G41" authorId="0">
      <text>
        <r>
          <rPr>
            <b/>
            <sz val="8"/>
            <rFont val="Tahoma"/>
            <family val="2"/>
          </rPr>
          <t>Бухгалтер:</t>
        </r>
        <r>
          <rPr>
            <sz val="8"/>
            <rFont val="Tahoma"/>
            <family val="2"/>
          </rPr>
          <t xml:space="preserve">
контрольная сумма по субсидии</t>
        </r>
      </text>
    </comment>
    <comment ref="E130" authorId="0">
      <text>
        <r>
          <rPr>
            <b/>
            <sz val="8"/>
            <rFont val="Tahoma"/>
            <family val="2"/>
          </rPr>
          <t>Бухгалтер:</t>
        </r>
        <r>
          <rPr>
            <sz val="8"/>
            <rFont val="Tahoma"/>
            <family val="2"/>
          </rPr>
          <t xml:space="preserve">
дез.средства - 4000
канц товар - 5000</t>
        </r>
      </text>
    </comment>
    <comment ref="E124" authorId="0">
      <text>
        <r>
          <rPr>
            <b/>
            <sz val="8"/>
            <rFont val="Tahoma"/>
            <family val="2"/>
          </rPr>
          <t>Бухгалтер:</t>
        </r>
        <r>
          <rPr>
            <sz val="8"/>
            <rFont val="Tahoma"/>
            <family val="2"/>
          </rPr>
          <t xml:space="preserve">
ноутбук, нетбук, проектор, экран</t>
        </r>
      </text>
    </comment>
    <comment ref="H124" authorId="0">
      <text>
        <r>
          <rPr>
            <b/>
            <sz val="8"/>
            <rFont val="Tahoma"/>
            <family val="2"/>
          </rPr>
          <t>Бухгалтер:</t>
        </r>
        <r>
          <rPr>
            <sz val="8"/>
            <rFont val="Tahoma"/>
            <family val="2"/>
          </rPr>
          <t xml:space="preserve">
шкафы для грушек, тумбы</t>
        </r>
      </text>
    </comment>
    <comment ref="H130" authorId="0">
      <text>
        <r>
          <rPr>
            <b/>
            <sz val="8"/>
            <rFont val="Tahoma"/>
            <family val="2"/>
          </rPr>
          <t>Бухгалтер:</t>
        </r>
        <r>
          <rPr>
            <sz val="8"/>
            <rFont val="Tahoma"/>
            <family val="2"/>
          </rPr>
          <t xml:space="preserve">
игрушки - 10000
свободный остаток - 19050</t>
        </r>
      </text>
    </comment>
    <comment ref="F130" authorId="0">
      <text>
        <r>
          <rPr>
            <b/>
            <sz val="8"/>
            <rFont val="Tahoma"/>
            <family val="2"/>
          </rPr>
          <t>Бухгалтер:</t>
        </r>
        <r>
          <rPr>
            <sz val="8"/>
            <rFont val="Tahoma"/>
            <family val="2"/>
          </rPr>
          <t xml:space="preserve">
карниз или "задник"</t>
        </r>
      </text>
    </comment>
    <comment ref="F116" authorId="0">
      <text>
        <r>
          <rPr>
            <b/>
            <sz val="8"/>
            <rFont val="Tahoma"/>
            <family val="2"/>
          </rPr>
          <t>Бухгалтер:</t>
        </r>
        <r>
          <rPr>
            <sz val="8"/>
            <rFont val="Tahoma"/>
            <family val="2"/>
          </rPr>
          <t xml:space="preserve">
повышение квалификации пед.работников</t>
        </r>
      </text>
    </comment>
  </commentList>
</comments>
</file>

<file path=xl/comments6.xml><?xml version="1.0" encoding="utf-8"?>
<comments xmlns="http://schemas.openxmlformats.org/spreadsheetml/2006/main">
  <authors>
    <author>Бухгалтер</author>
    <author>Валентина</author>
  </authors>
  <commentList>
    <comment ref="G41" authorId="0">
      <text>
        <r>
          <rPr>
            <b/>
            <sz val="8"/>
            <rFont val="Tahoma"/>
            <family val="2"/>
          </rPr>
          <t>Бухгалтер:</t>
        </r>
        <r>
          <rPr>
            <sz val="8"/>
            <rFont val="Tahoma"/>
            <family val="2"/>
          </rPr>
          <t xml:space="preserve">
контрольная сумма по субсидии</t>
        </r>
      </text>
    </comment>
    <comment ref="G42" authorId="0">
      <text>
        <r>
          <rPr>
            <b/>
            <sz val="8"/>
            <rFont val="Tahoma"/>
            <family val="2"/>
          </rPr>
          <t>Бухгалтер:</t>
        </r>
        <r>
          <rPr>
            <sz val="8"/>
            <rFont val="Tahoma"/>
            <family val="2"/>
          </rPr>
          <t xml:space="preserve">
компенсация род взноса вместе с услогой банка</t>
        </r>
      </text>
    </comment>
    <comment ref="E46" authorId="0">
      <text>
        <r>
          <rPr>
            <b/>
            <sz val="8"/>
            <rFont val="Tahoma"/>
            <family val="2"/>
          </rPr>
          <t>Бухгалтер:</t>
        </r>
        <r>
          <rPr>
            <sz val="8"/>
            <rFont val="Tahoma"/>
            <family val="2"/>
          </rPr>
          <t xml:space="preserve">
род.взнос</t>
        </r>
      </text>
    </comment>
    <comment ref="G46" authorId="1">
      <text>
        <r>
          <rPr>
            <b/>
            <sz val="9"/>
            <rFont val="Tahoma"/>
            <family val="2"/>
          </rPr>
          <t>Валентина:</t>
        </r>
        <r>
          <rPr>
            <sz val="9"/>
            <rFont val="Tahoma"/>
            <family val="2"/>
          </rPr>
          <t xml:space="preserve">
янв 800*65=52000
с февр 75,00
6285 детодней*75=471375
Итого 523375</t>
        </r>
      </text>
    </comment>
    <comment ref="E48" authorId="0">
      <text>
        <r>
          <rPr>
            <b/>
            <sz val="8"/>
            <rFont val="Tahoma"/>
            <family val="2"/>
          </rPr>
          <t>Бухгалтер:</t>
        </r>
        <r>
          <rPr>
            <sz val="8"/>
            <rFont val="Tahoma"/>
            <family val="2"/>
          </rPr>
          <t xml:space="preserve">
ед.пожертвование на игрушки</t>
        </r>
      </text>
    </comment>
    <comment ref="G48" authorId="0">
      <text>
        <r>
          <rPr>
            <b/>
            <sz val="8"/>
            <rFont val="Tahoma"/>
            <family val="2"/>
          </rPr>
          <t>Бухгалтер:</t>
        </r>
        <r>
          <rPr>
            <sz val="8"/>
            <rFont val="Tahoma"/>
            <family val="2"/>
          </rPr>
          <t xml:space="preserve">
един.пожертв.на игрушки</t>
        </r>
      </text>
    </comment>
    <comment ref="E115" authorId="0">
      <text>
        <r>
          <rPr>
            <b/>
            <sz val="8"/>
            <rFont val="Tahoma"/>
            <family val="2"/>
          </rPr>
          <t>Бухгалтер:</t>
        </r>
        <r>
          <rPr>
            <sz val="8"/>
            <rFont val="Tahoma"/>
            <family val="2"/>
          </rPr>
          <t xml:space="preserve">
продление ЭЦП, услуги спец оператора, программное обеспечение 1С Зарплата</t>
        </r>
      </text>
    </comment>
    <comment ref="E125" authorId="0">
      <text>
        <r>
          <rPr>
            <b/>
            <sz val="8"/>
            <rFont val="Tahoma"/>
            <family val="2"/>
          </rPr>
          <t>Бухгалтер:</t>
        </r>
        <r>
          <rPr>
            <sz val="8"/>
            <rFont val="Tahoma"/>
            <family val="2"/>
          </rPr>
          <t xml:space="preserve">
видеокамера?</t>
        </r>
      </text>
    </comment>
    <comment ref="E130" authorId="0">
      <text>
        <r>
          <rPr>
            <b/>
            <sz val="8"/>
            <rFont val="Tahoma"/>
            <family val="2"/>
          </rPr>
          <t>Бухгалтер:</t>
        </r>
        <r>
          <rPr>
            <sz val="8"/>
            <rFont val="Tahoma"/>
            <family val="2"/>
          </rPr>
          <t xml:space="preserve">
картридж</t>
        </r>
      </text>
    </comment>
    <comment ref="F130" authorId="0">
      <text>
        <r>
          <rPr>
            <b/>
            <sz val="8"/>
            <rFont val="Tahoma"/>
            <family val="2"/>
          </rPr>
          <t>Бухгалтер:</t>
        </r>
        <r>
          <rPr>
            <sz val="8"/>
            <rFont val="Tahoma"/>
            <family val="2"/>
          </rPr>
          <t xml:space="preserve">
канц товар</t>
        </r>
      </text>
    </comment>
    <comment ref="E98" authorId="0">
      <text>
        <r>
          <rPr>
            <b/>
            <sz val="8"/>
            <rFont val="Tahoma"/>
            <family val="2"/>
          </rPr>
          <t>Бухгалтер:</t>
        </r>
        <r>
          <rPr>
            <sz val="8"/>
            <rFont val="Tahoma"/>
            <family val="2"/>
          </rPr>
          <t xml:space="preserve">
очистка</t>
        </r>
      </text>
    </comment>
  </commentList>
</comments>
</file>

<file path=xl/comments7.xml><?xml version="1.0" encoding="utf-8"?>
<comments xmlns="http://schemas.openxmlformats.org/spreadsheetml/2006/main">
  <authors>
    <author>Бухгалтер</author>
    <author>Валентина</author>
  </authors>
  <commentList>
    <comment ref="H40" authorId="0">
      <text>
        <r>
          <rPr>
            <b/>
            <sz val="8"/>
            <rFont val="Tahoma"/>
            <family val="2"/>
          </rPr>
          <t>Бухгалтер:</t>
        </r>
        <r>
          <rPr>
            <sz val="8"/>
            <rFont val="Tahoma"/>
            <family val="2"/>
          </rPr>
          <t xml:space="preserve">
контрольная сумма по субсидии</t>
        </r>
      </text>
    </comment>
    <comment ref="H41" authorId="0">
      <text>
        <r>
          <rPr>
            <b/>
            <sz val="8"/>
            <rFont val="Tahoma"/>
            <family val="2"/>
          </rPr>
          <t>Бухгалтер:</t>
        </r>
        <r>
          <rPr>
            <sz val="8"/>
            <rFont val="Tahoma"/>
            <family val="2"/>
          </rPr>
          <t xml:space="preserve">
компенсация род взноса вместе с услогой банка</t>
        </r>
      </text>
    </comment>
    <comment ref="F45" authorId="0">
      <text>
        <r>
          <rPr>
            <b/>
            <sz val="8"/>
            <rFont val="Tahoma"/>
            <family val="2"/>
          </rPr>
          <t>Бухгалтер:</t>
        </r>
        <r>
          <rPr>
            <sz val="8"/>
            <rFont val="Tahoma"/>
            <family val="2"/>
          </rPr>
          <t xml:space="preserve">
род.взнос</t>
        </r>
      </text>
    </comment>
    <comment ref="H45" authorId="1">
      <text>
        <r>
          <rPr>
            <b/>
            <sz val="9"/>
            <rFont val="Tahoma"/>
            <family val="2"/>
          </rPr>
          <t>Валентина:</t>
        </r>
        <r>
          <rPr>
            <sz val="9"/>
            <rFont val="Tahoma"/>
            <family val="2"/>
          </rPr>
          <t xml:space="preserve">
янв 800*65=52000
с февр 75,00
6285 детодней*75=471375
Итого 523375</t>
        </r>
      </text>
    </comment>
    <comment ref="F47" authorId="0">
      <text>
        <r>
          <rPr>
            <b/>
            <sz val="8"/>
            <rFont val="Tahoma"/>
            <family val="2"/>
          </rPr>
          <t>Бухгалтер:</t>
        </r>
        <r>
          <rPr>
            <sz val="8"/>
            <rFont val="Tahoma"/>
            <family val="2"/>
          </rPr>
          <t xml:space="preserve">
ед.пожертвование на игрушки</t>
        </r>
      </text>
    </comment>
    <comment ref="H47" authorId="0">
      <text>
        <r>
          <rPr>
            <b/>
            <sz val="8"/>
            <rFont val="Tahoma"/>
            <family val="2"/>
          </rPr>
          <t>Бухгалтер:</t>
        </r>
        <r>
          <rPr>
            <sz val="8"/>
            <rFont val="Tahoma"/>
            <family val="2"/>
          </rPr>
          <t xml:space="preserve">
един.пожертв.на игрушки</t>
        </r>
      </text>
    </comment>
  </commentList>
</comments>
</file>

<file path=xl/sharedStrings.xml><?xml version="1.0" encoding="utf-8"?>
<sst xmlns="http://schemas.openxmlformats.org/spreadsheetml/2006/main" count="742" uniqueCount="287">
  <si>
    <t xml:space="preserve">ПЛАН ФИНАНСОВО-ХОЗЯЙСТВЕННОЙ ДЕЯТЕЛЬНОСТИ МУНИЦИПАЛЬНОГО УЧРЕЖДЕНИЯ  </t>
  </si>
  <si>
    <t>(наименование учреждения)</t>
  </si>
  <si>
    <t>Согласовано:                                                                                                                          Утверждаю:</t>
  </si>
  <si>
    <t xml:space="preserve">                                                                                                                          </t>
  </si>
  <si>
    <t>1.Учетная карта  муниципального учреждения</t>
  </si>
  <si>
    <t xml:space="preserve">Полное наименование  учреждения: </t>
  </si>
  <si>
    <t>Юридический адрес</t>
  </si>
  <si>
    <t>Дата регистрации</t>
  </si>
  <si>
    <t>Место регистрации</t>
  </si>
  <si>
    <t>Почтовый адрес</t>
  </si>
  <si>
    <t>Телефон учреждения</t>
  </si>
  <si>
    <t>Факс учреждения</t>
  </si>
  <si>
    <t>Адрес электронной почты</t>
  </si>
  <si>
    <t>Ф.И.О. руководителя учреждения</t>
  </si>
  <si>
    <t>Ф.И.О. главного бухгалтера</t>
  </si>
  <si>
    <t>ИНН/КПП</t>
  </si>
  <si>
    <t>Код ОКВЭД (ОКОНХ)</t>
  </si>
  <si>
    <t>(вид деятельности)</t>
  </si>
  <si>
    <t>Код ОКПО</t>
  </si>
  <si>
    <t>Код  ОКФС (форма  собственности)</t>
  </si>
  <si>
    <t>Код ОКАТО (местонахождение)</t>
  </si>
  <si>
    <t>Код ОКОПФ (организационно-правовая форма)</t>
  </si>
  <si>
    <t>Код ОКОГУ (орган управления)</t>
  </si>
  <si>
    <t>Наименование органа, осуществляющего функции и полномочия учредителя</t>
  </si>
  <si>
    <t>Размер уставного фонда</t>
  </si>
  <si>
    <t>Доля муниципалитета в уставном фонде</t>
  </si>
  <si>
    <t>Финансовый год ( финансовый год и плановый период) на который представлены содержащиеся в документе сведения</t>
  </si>
  <si>
    <t>Наименование единиц измерения показателей, включаемых в План и их коды по общероссийскому классификатору единиц измерения (ОКЕИ) и (или) Общероссийскому классификатору валют (ОКВ)</t>
  </si>
  <si>
    <t>2.2.</t>
  </si>
  <si>
    <t>Наличие лицензий, свидетельства о государственной  аккредитации учреждения, заключения по его аттестации:  ( указать  по лицензии, свидетельства)</t>
  </si>
  <si>
    <t xml:space="preserve">     Наименование лицензирующего органа –</t>
  </si>
  <si>
    <t xml:space="preserve">    Номер лицензии -  серия   </t>
  </si>
  <si>
    <t xml:space="preserve">     Период действия -</t>
  </si>
  <si>
    <t>№</t>
  </si>
  <si>
    <t>Наименование показателей</t>
  </si>
  <si>
    <t>Ед. измерений</t>
  </si>
  <si>
    <t>На начало отчетного периода</t>
  </si>
  <si>
    <t>На конец отчетного периода</t>
  </si>
  <si>
    <t>Общая балансовая стоимость закрепленного за муниципальным учреждением имущества</t>
  </si>
  <si>
    <t>тыс. руб.</t>
  </si>
  <si>
    <t>в том числе:</t>
  </si>
  <si>
    <t>балансовая стоимость  недвижимого имущества</t>
  </si>
  <si>
    <t>балансовая стоимость особо ценного движимого имущества</t>
  </si>
  <si>
    <t>Остаточная стоимость закрепленного за муниципальным учреждением имущества</t>
  </si>
  <si>
    <t>остаточная стоимость недвижимого имущества</t>
  </si>
  <si>
    <t>остаточная стоимость особо ценного движимого имущества</t>
  </si>
  <si>
    <t>Количество объектов недвижимого имущества, закрепленного за муниципальным учреждением</t>
  </si>
  <si>
    <t>шт.</t>
  </si>
  <si>
    <t>зданий</t>
  </si>
  <si>
    <t>сооружения</t>
  </si>
  <si>
    <t>помещений</t>
  </si>
  <si>
    <t>Общая площадь объектов недвижимого имущества, закрепленного за муниципальным учреждением</t>
  </si>
  <si>
    <t>кв. м</t>
  </si>
  <si>
    <t>площадь недвижимого имущества, переданного  муниципальным учреждением в аренду</t>
  </si>
  <si>
    <t>площадь недвижимого имущества, находящегося в фактическом пользовании  муниципального учреждения</t>
  </si>
  <si>
    <t>Финансовые активы, всего</t>
  </si>
  <si>
    <t>из них:</t>
  </si>
  <si>
    <t>дебиторская задолженность</t>
  </si>
  <si>
    <t>по доходам</t>
  </si>
  <si>
    <t xml:space="preserve">дебиторская задолженность </t>
  </si>
  <si>
    <t>по расходам</t>
  </si>
  <si>
    <t>Обязательства, всего</t>
  </si>
  <si>
    <t>просроченная кредиторская задолженность</t>
  </si>
  <si>
    <t>3.1.</t>
  </si>
  <si>
    <t xml:space="preserve">       </t>
  </si>
  <si>
    <t>Таблица 2</t>
  </si>
  <si>
    <t>Показатель</t>
  </si>
  <si>
    <t>базисный</t>
  </si>
  <si>
    <t>Плановый период</t>
  </si>
  <si>
    <t>% изм.</t>
  </si>
  <si>
    <t>на 01.01.11г.</t>
  </si>
  <si>
    <t>На 31.12.11г.</t>
  </si>
  <si>
    <t>на 01.01.12г.</t>
  </si>
  <si>
    <t>На 31.12.12г.</t>
  </si>
  <si>
    <t>1. Объем оказываемых  муниципальных услуг, ед.  наименование услуги:</t>
  </si>
  <si>
    <t>Показатели динамики численности работников и их качественного состава</t>
  </si>
  <si>
    <t>1. Численность административно-управленческого персонала</t>
  </si>
  <si>
    <t>2. Численность основного персонала</t>
  </si>
  <si>
    <t>3. Численность вспомогательного персонала</t>
  </si>
  <si>
    <t>Показатели динамики доходов учреждения</t>
  </si>
  <si>
    <t xml:space="preserve">бюджетное финансирование (субсидия) </t>
  </si>
  <si>
    <t>1. Доходы учреждения</t>
  </si>
  <si>
    <t>2. Доходы учреждения в расчете на 1 услугу</t>
  </si>
  <si>
    <t>внебюджетные доходы:</t>
  </si>
  <si>
    <t xml:space="preserve">1. Доходы учреждения от платных услуг </t>
  </si>
  <si>
    <t>2. Доходы учреждения от платных услуг в расчете на 1 услугу</t>
  </si>
  <si>
    <t>3. Доходы от прочих источников (безвозмездные поступления, спонсорская помощь и др.)</t>
  </si>
  <si>
    <t>Показатели динамики оплаты труда работников учреждения</t>
  </si>
  <si>
    <t>1. Среднегодовая оплата труда работников</t>
  </si>
  <si>
    <t>2. Отношение фонда оплаты труда работников к доходам учреждения</t>
  </si>
  <si>
    <t>Показатели динамики имущества автономного учреждения</t>
  </si>
  <si>
    <t>1. Общие площади учреждения</t>
  </si>
  <si>
    <t>2. Обеспеченность площадями зданий учреждения в расчете на 1 услугу</t>
  </si>
  <si>
    <t>Показатели качества оказания услуг учреждением</t>
  </si>
  <si>
    <t>Показатели определяются на основе порядка оказания услуг:</t>
  </si>
  <si>
    <t>Характеристика оказываемых  платных услуг</t>
  </si>
  <si>
    <t>4.1.</t>
  </si>
  <si>
    <t>Описание услуг:</t>
  </si>
  <si>
    <t>№ п/п</t>
  </si>
  <si>
    <t>Наименование услуги</t>
  </si>
  <si>
    <t>Цель</t>
  </si>
  <si>
    <t>Время работы</t>
  </si>
  <si>
    <t>Периодичность</t>
  </si>
  <si>
    <t>1.</t>
  </si>
  <si>
    <t>3.</t>
  </si>
  <si>
    <t>Таблица 4</t>
  </si>
  <si>
    <t>Наименование услуги по видам</t>
  </si>
  <si>
    <t>1кв</t>
  </si>
  <si>
    <t xml:space="preserve">2кв </t>
  </si>
  <si>
    <t>3кв</t>
  </si>
  <si>
    <t>4кв</t>
  </si>
  <si>
    <t>200_г.</t>
  </si>
  <si>
    <t>итого план</t>
  </si>
  <si>
    <t>остаток средств на начало планируемого года</t>
  </si>
  <si>
    <t xml:space="preserve">Основная деятельность, </t>
  </si>
  <si>
    <t>Бюджетное  финансирование :</t>
  </si>
  <si>
    <t>субсидий на выполнение государственного (муниципального) задания</t>
  </si>
  <si>
    <t>Бюджетные  инвестиции</t>
  </si>
  <si>
    <t xml:space="preserve"> Расходы всего*</t>
  </si>
  <si>
    <t>прочие выплаты (метод.литература, пособия и др.)</t>
  </si>
  <si>
    <t>коммунальные платежи, услуги связи:</t>
  </si>
  <si>
    <t>услуги связи, Интернет</t>
  </si>
  <si>
    <t>водоснабжение</t>
  </si>
  <si>
    <t>теплоснабжение</t>
  </si>
  <si>
    <t>электроснабжение</t>
  </si>
  <si>
    <t>прочие услуги:</t>
  </si>
  <si>
    <t>санитарно-эпидимиологические услуги</t>
  </si>
  <si>
    <t>услуги по содержанию имущества:</t>
  </si>
  <si>
    <t>поверка огнетушителей</t>
  </si>
  <si>
    <t>обследование технического состояния строительных конструкций</t>
  </si>
  <si>
    <t>выполнение эскизного проекта</t>
  </si>
  <si>
    <t>вывоз мусора</t>
  </si>
  <si>
    <t>прочие расходы</t>
  </si>
  <si>
    <t>налог на землю</t>
  </si>
  <si>
    <t>налог на имущество</t>
  </si>
  <si>
    <t>увеличение стоимости МЗ</t>
  </si>
  <si>
    <t>приобретение медикаментов</t>
  </si>
  <si>
    <t>приобретение моющих, чистящих средств</t>
  </si>
  <si>
    <t>приобретение энергосберегающих лампочек</t>
  </si>
  <si>
    <t>на платежи по лизингу</t>
  </si>
  <si>
    <t>на погашение кредитов и займов</t>
  </si>
  <si>
    <t>на реконструкцию, новое строительство</t>
  </si>
  <si>
    <t>Справочно:</t>
  </si>
  <si>
    <t xml:space="preserve">Объем публичных обязательств на 2012 год, всего </t>
  </si>
  <si>
    <t>в тыс.руб.</t>
  </si>
  <si>
    <t>*Расшифровка расходов в таблице 4 по видам расходов уточняется  каждым учреждением в зависимости от планируемых  видов расходов.</t>
  </si>
  <si>
    <t xml:space="preserve">          М.П.</t>
  </si>
  <si>
    <t>общая балансовая стоимость недвижимого муниципального имущества на дату составления Плана:</t>
  </si>
  <si>
    <t>имущества, закрепленного собственником имущества за учреждением на праве оперативного управления;</t>
  </si>
  <si>
    <t xml:space="preserve"> приобретенного учреждением (подразделением) за счет выделенных собственником имущества учреждения средств ;</t>
  </si>
  <si>
    <t xml:space="preserve"> приобретенного учреждением (подразделением) за счет доходов, полученных от иной приносящей доход деятельности;</t>
  </si>
  <si>
    <t xml:space="preserve">    общая балансовая стоимость движимого муниципального имущества на дату составления Плана  </t>
  </si>
  <si>
    <t xml:space="preserve">       в том числе балансовая стоимость особо ценного движимого имущества</t>
  </si>
  <si>
    <t xml:space="preserve">  Администрация МО "Намский улус" </t>
  </si>
  <si>
    <t>2.4   </t>
  </si>
  <si>
    <t xml:space="preserve"> Анализ существующего положения и перспектив развития учреждения</t>
  </si>
  <si>
    <t>3.2.     </t>
  </si>
  <si>
    <t>1.1</t>
  </si>
  <si>
    <t>1.2</t>
  </si>
  <si>
    <t>1.3</t>
  </si>
  <si>
    <t>1.4</t>
  </si>
  <si>
    <t>1.5</t>
  </si>
  <si>
    <t xml:space="preserve"> Должность       </t>
  </si>
  <si>
    <t xml:space="preserve">                                                                                                                       телефон</t>
  </si>
  <si>
    <t xml:space="preserve"> Ф.И.О.              </t>
  </si>
  <si>
    <t>Администрация МО "Намский улус"</t>
  </si>
  <si>
    <t>Муниципальное бюджетное дошкольное образовательное учреждение "Детский сад комбинированного вида №5 "Кэскил" с.Намцы муниципального образования "Намский улус" Республики Саха (Якутия)"</t>
  </si>
  <si>
    <t>678380, Республика Саха (Якутия), Намский улус, с. Намцы, ул. Октябрьская, д. 35</t>
  </si>
  <si>
    <t>Федеральная налоговая служба</t>
  </si>
  <si>
    <t>8 (41162) 41-536</t>
  </si>
  <si>
    <t>mdou5keskilnam@yandex.ru</t>
  </si>
  <si>
    <t>Харитонова Елена Константиновна</t>
  </si>
  <si>
    <t>Сивцева Валентина Андреевна</t>
  </si>
  <si>
    <t>1417006342/141701001</t>
  </si>
  <si>
    <t>80.10.1</t>
  </si>
  <si>
    <t>дошкольное (предшествующее начальному школьному) образование</t>
  </si>
  <si>
    <t>2011 г.</t>
  </si>
  <si>
    <t>2012 г.</t>
  </si>
  <si>
    <t>2013 г.</t>
  </si>
  <si>
    <t>от 17 февраля 2010г.по 21 мая 2015г.</t>
  </si>
  <si>
    <t>Государственная служба по контролю и надзору в сфере образования и науки при Президенте Республики Саха (Якутия)</t>
  </si>
  <si>
    <t>продукты питания</t>
  </si>
  <si>
    <t>ГСМ</t>
  </si>
  <si>
    <t>тех.обслуживание газового оборудования</t>
  </si>
  <si>
    <t>очистка и вывоз нечистот</t>
  </si>
  <si>
    <t>услуги по обслуживанию программных продуктов, продление ЭЦП</t>
  </si>
  <si>
    <t>строительный материал для тек.ремонта</t>
  </si>
  <si>
    <t>игрушки</t>
  </si>
  <si>
    <t>ст. воспитатель
воспитатель
воспитатель
муз.руководитель
воспитатель
воспитатель
физ.руководитель
воспитатель
воспитатель (отп.по уходу)
воспитатель
педагог-психолог
воспитатель</t>
  </si>
  <si>
    <t>Финансовое состояние на 2011 год</t>
  </si>
  <si>
    <t>Педагогический совет</t>
  </si>
  <si>
    <t>компенсация на приобретение метод литературы</t>
  </si>
  <si>
    <t>ед. изм.</t>
  </si>
  <si>
    <t>объем значения показателя</t>
  </si>
  <si>
    <t>периодичность</t>
  </si>
  <si>
    <t>выполнение показателя качества муниципальной услуги</t>
  </si>
  <si>
    <t>максимально  допустимый объем недельной образовательной нагрузки, включая реализацию дополнительных образовательных программ для детей раннего и  дошкольного возраста: ранняя группа-1ч.30 мин., младшая группа - 2ч.45 мин., средняя группа- 4 ч., старшая группа - 6ч.15 мин., подготовительная группа- 8ч.30 мин.</t>
  </si>
  <si>
    <t>ежеквартально</t>
  </si>
  <si>
    <t>не менее 75 % фактически проведенных  часов плановой нагрузки</t>
  </si>
  <si>
    <t>%</t>
  </si>
  <si>
    <t xml:space="preserve"> 1 ребенок</t>
  </si>
  <si>
    <t>журнал посещаемости групп</t>
  </si>
  <si>
    <t>не менее 65 % от планового показателя</t>
  </si>
  <si>
    <t>1 раз в год</t>
  </si>
  <si>
    <t>опрос родителей(анкетирование)</t>
  </si>
  <si>
    <t>не менее 85 % удовлетворительной оценки от общего числа опрошенных родителей</t>
  </si>
  <si>
    <t>№ 356  Серия А №202416</t>
  </si>
  <si>
    <t>1. Полнота реализации основной общеобразовательной программы дошкольного образования</t>
  </si>
  <si>
    <t>2. Выполнение дето-дней</t>
  </si>
  <si>
    <t xml:space="preserve">3. Уровень удовлетворенности родителей (законных представителей)качеством образования
</t>
  </si>
  <si>
    <t xml:space="preserve">МБДОУ "Детский сад № 5"Кэскил" с.Намцы находится в здании бывшей конторы стройучастка ПМК-572.Переоборудовано под детский сад  1986 году.Здание нетиповое, год постройки 1969г. В детском саду есть музыкально- спортивный зал, медицинский кабинет, изолятор. Капитальный ремонт не проводился со дня  открытия  детского сада . Всего  педагогов 12, образовательный уровень педагогов: с высшим образованием  6- 50%, средне-специальным образованием 6-50%. Профессиональный уровень педагогов: высшую категорию имеют 4 педагога- 33,3%,  1 категорию- 3-25%, II-2- 16,6%,баз.-3 -25 %. Важным показателем результатов работы является сохранение и укрепление здоровья детей. Выполнение детодней в 2009г.-8,561- 100%, в 2010г.-8979- 100%, 2011г. -8461 - 99,5%,показатель посещаемости снизился из за того, что в июне месяце детский сад не работал. В детском саду систематически ведется плановая работа по профилактике простудных заболеваний, оздоровительных мероприятий.С каждым годом увеличивается количество детей с ослабленным здоровьем, с патологиями при рождении. Всем  этим  детям надо  хорошо питаться.Но между тем,  недофинансирования в бюджете на продукты питания  не отвечает нормативу суточного потребления питания на 1 ребенка . В 2011г. на продукты питания бюджетом финансировано -268,230 рублей, по  нормативу требуется на 50 детей -955 000 рубл. Материально-техническая база детского сада устарела.Износ составляет 100%. Технологическое оборудование пищеблока, здание прачечной  не отвечает требованиям СанПина.  </t>
  </si>
  <si>
    <t>Сивцева Мария Ивановна
Скольникова Анастасия Дмитриевна
Егорова Мария Афанасьевна
Петухова Любовь Николаевна
Максимова Мария Николаевна
Шадрина Анна Петровна
Сивцева Марианна Иннокентьевна
Свешникова Алена Ивановна
Слепцова Инна Антоновна
Сивцева Анна Васильевна
Никонова Наталья Кирилловна
Черноградская Людмила Павловна</t>
  </si>
  <si>
    <t>Целевые субсидии</t>
  </si>
  <si>
    <t>Всего доходов</t>
  </si>
  <si>
    <t xml:space="preserve">          целевая субсидия (компенсация род.взноса)</t>
  </si>
  <si>
    <t>компенсация родительского взноса</t>
  </si>
  <si>
    <t>ремонт (устоновка) пожарной сигналзации</t>
  </si>
  <si>
    <t>прочие услуги (мед.осмотр)</t>
  </si>
  <si>
    <t>2. Общее описание ситуации</t>
  </si>
  <si>
    <t xml:space="preserve">     </t>
  </si>
  <si>
    <t xml:space="preserve">    Таблица 3</t>
  </si>
  <si>
    <t xml:space="preserve"> ДОХОДЫ ВСЕГО</t>
  </si>
  <si>
    <t>Доходы от прочих источников (безвозмездные поступления, спонсорская помощь и др.)</t>
  </si>
  <si>
    <t>41-536</t>
  </si>
  <si>
    <t xml:space="preserve">     Лицензируемый вид деятельности – </t>
  </si>
  <si>
    <r>
      <t>1.1.</t>
    </r>
    <r>
      <rPr>
        <sz val="12"/>
        <rFont val="Times New Roman"/>
        <family val="1"/>
      </rPr>
      <t xml:space="preserve"> организация предоставления общедоступного бесплатного дошкольного образования в ДОУ комбинированного вида</t>
    </r>
  </si>
  <si>
    <r>
      <t>4</t>
    </r>
    <r>
      <rPr>
        <b/>
        <i/>
        <sz val="12"/>
        <rFont val="Times New Roman"/>
        <family val="1"/>
      </rPr>
      <t>.</t>
    </r>
  </si>
  <si>
    <r>
      <t xml:space="preserve">2.1. </t>
    </r>
    <r>
      <rPr>
        <b/>
        <sz val="12"/>
        <rFont val="Times New Roman"/>
        <family val="1"/>
      </rPr>
      <t>Цель деятельности учреждения</t>
    </r>
    <r>
      <rPr>
        <sz val="12"/>
        <rFont val="Times New Roman"/>
        <family val="1"/>
      </rPr>
      <t>: воспитание, обучение, присмотр, уход и оздоровление детей в возрасте 1 года 6 месяцев до 7 лет.</t>
    </r>
  </si>
  <si>
    <r>
      <t xml:space="preserve">2.2. </t>
    </r>
    <r>
      <rPr>
        <b/>
        <sz val="12"/>
        <rFont val="Times New Roman"/>
        <family val="1"/>
      </rPr>
      <t>Основные виды деятельности учреждения по оказанию муниципальных услуг</t>
    </r>
    <r>
      <rPr>
        <sz val="12"/>
        <rFont val="Times New Roman"/>
        <family val="1"/>
      </rPr>
      <t>: Предоставление дошкольного образования в соответствии с основной общеобразовательной программой дошкольного образования в  группах общеразвивающей,  оздоровительной и комбинированной направленности  в разном сочетании, функционирующих в режиме  полного (10,5 часового) пребывания и гувернерской службы</t>
    </r>
  </si>
  <si>
    <t>Перечень иных видов  деятельности,  осуществляемых учреждением:</t>
  </si>
  <si>
    <r>
      <t xml:space="preserve">         </t>
    </r>
    <r>
      <rPr>
        <sz val="12"/>
        <color indexed="8"/>
        <rFont val="Times New Roman"/>
        <family val="1"/>
      </rPr>
      <t>Таблица 1</t>
    </r>
  </si>
  <si>
    <r>
      <t>           Структура управления</t>
    </r>
    <r>
      <rPr>
        <b/>
        <u val="single"/>
        <sz val="12"/>
        <rFont val="Times New Roman"/>
        <family val="1"/>
      </rPr>
      <t xml:space="preserve">  </t>
    </r>
  </si>
  <si>
    <r>
      <t xml:space="preserve">Учредитель   </t>
    </r>
    <r>
      <rPr>
        <u val="single"/>
        <sz val="12"/>
        <rFont val="Times New Roman"/>
        <family val="1"/>
      </rPr>
      <t xml:space="preserve">- </t>
    </r>
  </si>
  <si>
    <r>
      <t xml:space="preserve"> Руководитель</t>
    </r>
    <r>
      <rPr>
        <u val="single"/>
        <sz val="12"/>
        <rFont val="Times New Roman"/>
        <family val="1"/>
      </rPr>
      <t xml:space="preserve"> </t>
    </r>
  </si>
  <si>
    <r>
      <t xml:space="preserve">       </t>
    </r>
    <r>
      <rPr>
        <b/>
        <sz val="12"/>
        <rFont val="Times New Roman"/>
        <family val="1"/>
      </rPr>
      <t>Перспективы развития учреждения</t>
    </r>
    <r>
      <rPr>
        <sz val="12"/>
        <rFont val="Times New Roman"/>
        <family val="1"/>
      </rPr>
      <t xml:space="preserve"> : (краткий анализ перспективы на последующие годы  с указанием количественных и качественных показателей, объема финансирования из всех источников финансирования) Согласно предписания Роспотребнадзора по  Намскому улусу нужно предусмотреть  в 2012 году оснашение пищеблока технологическим оборудованием, оснащение медицинского кабинета оборудованием, увеличение объемов питания  детей по СанПину, установка противопожарной емкости, проведение капитального ремонта, увеличение площади помещения (отдельное помещение для младшей группы, пристрой спортивного зала),  обновление детских площадок для прогулок, соглано антитеррористической программе обновление ограждения площади, приобретение интерактивной доски, оснащение педагогического персонала методичекой литературой и современным наглядными материалами, приобретение игрушек. </t>
    </r>
  </si>
  <si>
    <r>
      <t>Другие источники:</t>
    </r>
    <r>
      <rPr>
        <b/>
        <sz val="12"/>
        <rFont val="Times New Roman"/>
        <family val="1"/>
      </rPr>
      <t xml:space="preserve"> </t>
    </r>
    <r>
      <rPr>
        <sz val="12"/>
        <color indexed="8"/>
        <rFont val="Times New Roman"/>
        <family val="1"/>
      </rPr>
      <t>поступлений от оказания учреждением, относящихся в соответствии с уставом учреждения (положением подразделения) к его основным видам деятельности, предоставление которых для физических и юридических лиц осуществляется на платной основе, а также поступлений от иной приносящей доход деятельности</t>
    </r>
  </si>
  <si>
    <r>
      <t>Остатки  средств</t>
    </r>
    <r>
      <rPr>
        <b/>
        <sz val="12"/>
        <color indexed="8"/>
        <rFont val="Times New Roman"/>
        <family val="1"/>
      </rPr>
      <t xml:space="preserve"> на конец планируемого года.</t>
    </r>
  </si>
  <si>
    <t>Руководитель учреждения:  МБДОУ "Детский сад комбинированного вида №5 "Кэскил" с. Нацмы муниципального образования "Намский улус" Республики Саха (Якутия)"</t>
  </si>
  <si>
    <t xml:space="preserve"> Ответственный исполнитель Гл. бухгалтер</t>
  </si>
  <si>
    <t xml:space="preserve">подпись          </t>
  </si>
  <si>
    <t>ФОТ (включая страх.взносы)</t>
  </si>
  <si>
    <t>мебель, оборудование</t>
  </si>
  <si>
    <t>хозяйственный товар</t>
  </si>
  <si>
    <t>учебно-нагляд. пособия и методит. литература</t>
  </si>
  <si>
    <t>обслуживание ПК</t>
  </si>
  <si>
    <t>монтаж видеонаблюдения</t>
  </si>
  <si>
    <t>подписка</t>
  </si>
  <si>
    <t>проезд в отпуск</t>
  </si>
  <si>
    <t>компенс.книгоизд.продук</t>
  </si>
  <si>
    <t>на 01.01.13г.</t>
  </si>
  <si>
    <t>На 31.12.13г.</t>
  </si>
  <si>
    <t>прочие выплаты</t>
  </si>
  <si>
    <t>прочие</t>
  </si>
  <si>
    <t>квартирные</t>
  </si>
  <si>
    <t>уплата налогов, гос.пошлина, сборы,разного уровня платежей в бюджеты всей уровней</t>
  </si>
  <si>
    <t>прочие материальные запасы</t>
  </si>
  <si>
    <t>транспортные услуги</t>
  </si>
  <si>
    <t>командировочные расходы (транспорт)</t>
  </si>
  <si>
    <t>2013</t>
  </si>
  <si>
    <t>Планируемые объемы доходов и расходов на 2013 год</t>
  </si>
  <si>
    <t>Планируемые объемы доходов и расходов на 2013 годы</t>
  </si>
  <si>
    <t>услуги по изготовл.уголка ОТ, ПБ</t>
  </si>
  <si>
    <t>2.3.            Показатели финансового состояния учреждения на дату оставления Плана:01.01.2013г.</t>
  </si>
  <si>
    <t>на 01.01.2013</t>
  </si>
  <si>
    <r>
      <t>Общая   характеристика   существующего   положения   учреждения</t>
    </r>
    <r>
      <rPr>
        <sz val="12"/>
        <rFont val="Times New Roman"/>
        <family val="1"/>
      </rPr>
      <t xml:space="preserve"> (краткий финансово-хозяйственный  анализ  деятельности за предшествующий год: по численности работников,   анализ по основной деятельности  с указанием количественных и качественных показателей, объема финансирования) Муниципальное бюджетное дошкольное образовательное учреждение "Детский сад комбинированного вида №5 "Кэскил" с. Намцы МО "Намский улус" Республики Саха (Якутия) действует в соответствии с действующим законодательством РФ и РС (Я) "Об разовании", "Об учителе", "О правах ребенка", "О некомерческих организациях".
Организационно-правовая форма: муниципальное дошкольное образовательное учреждение.
Количество воспитуемых 50 детей. Количество административного персонала 3 работника; педагогического персонала 12 работников, прочего персонала 10 работников. По приобретению продуктов питания финансирование не отвечает требованиям.
Утвержденный план на год бюджет - 8 421 399, исполнение - 8 395 790,04.</t>
    </r>
  </si>
  <si>
    <t>ст. 211 - 5 197 342,64  исполнение 100%
ст. 212 - 44 380,30 исполнение 100%
ст. 213 - 1 543 947,40 исполнение 98,31%
ст. 221 - 36 849 исполнение 100%
ст. 223 - 769 697,28 исполнение 100%
ст. 225 - 11 452 исполнение 100%
ст. 226 - 6 816,22 исполнение 100%
ст. 310 - 30 868 исполнение 100%
ст. 340 - 344 537,20 исполнение 100%
ст. 225 (программа) - 100 000 исполнение 100%ст. 226 (услуги банка) - 5578 исполнение 100%
ст. 262 (компенс род взноса) - 279 912 исполнение 100%</t>
  </si>
  <si>
    <t>Дебиторская задолженность по бюджетным средствам составляет: 88 892,76 из них:
2 207,88 - ОАО "Намскоммунтеплоэнерго" аванс оплата за подвоз воды; 6 591,47- ОАО АК Якутскэнерго; 17 241,29 - ОАО "Сахатранснефтегаз" за газ для плиты; 62 852,12 - авансированная оплата за продукты питания и прочие материальные запасы
План по приносящей доход деятельности: 712 375 рублей, выполнено - 696 230 рублей; исполнено 696 230 рублей.</t>
  </si>
  <si>
    <t>КОСГУ</t>
  </si>
  <si>
    <t>Доп.статьи</t>
  </si>
  <si>
    <t>Оплата труда</t>
  </si>
  <si>
    <t>Начисления на оплату труда</t>
  </si>
  <si>
    <t>льготы на коммун услуги</t>
  </si>
  <si>
    <t>000</t>
  </si>
  <si>
    <t>Кружок танцевальный "Кунчээн"</t>
  </si>
  <si>
    <t>Формирование у детей старшего дошкольного возраста музыкально-двигательных навыков и танцевального творчества</t>
  </si>
  <si>
    <t>с 1 января по 31 декабря</t>
  </si>
  <si>
    <t>1 раз в неделю (24 занятия)</t>
  </si>
  <si>
    <t>Руководитель ______________ (Харитонова Е. К.)</t>
  </si>
  <si>
    <t>от "___" ___________ 2013 г.</t>
  </si>
  <si>
    <t>от "____" ________________2013 г.</t>
  </si>
  <si>
    <t>тыс.руб., м2, шт., %</t>
  </si>
  <si>
    <t>4000</t>
  </si>
  <si>
    <t>2000</t>
  </si>
  <si>
    <t>137</t>
  </si>
  <si>
    <t>0012</t>
  </si>
  <si>
    <t>Глава улуса ______________________(Атласов А. П.)</t>
  </si>
  <si>
    <t xml:space="preserve">Объем публичных обязательств на 2013 год, всего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</si>
</sst>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00"/>
    <numFmt numFmtId="177" formatCode="0.000000"/>
    <numFmt numFmtId="178" formatCode="#,##0.000"/>
    <numFmt numFmtId="179" formatCode="0.000"/>
    <numFmt numFmtId="180" formatCode="#,##0.00000"/>
    <numFmt numFmtId="181" formatCode="#,##0.0000"/>
  </numFmts>
  <fonts count="68">
    <font>
      <sz val="10"/>
      <name val="Arial Cyr"/>
      <family val="0"/>
    </font>
    <font>
      <b/>
      <sz val="14"/>
      <name val="Times New Roman"/>
      <family val="1"/>
    </font>
    <font>
      <sz val="10"/>
      <name val="Times New Roman"/>
      <family val="1"/>
    </font>
    <font>
      <sz val="14"/>
      <name val="Times New Roman"/>
      <family val="1"/>
    </font>
    <font>
      <sz val="8"/>
      <name val="Arial Cyr"/>
      <family val="0"/>
    </font>
    <font>
      <b/>
      <sz val="10"/>
      <name val="Times New Roman"/>
      <family val="1"/>
    </font>
    <font>
      <sz val="8"/>
      <name val="Tahoma"/>
      <family val="2"/>
    </font>
    <font>
      <b/>
      <sz val="8"/>
      <name val="Tahoma"/>
      <family val="2"/>
    </font>
    <font>
      <sz val="10"/>
      <name val="Tahoma"/>
      <family val="2"/>
    </font>
    <font>
      <b/>
      <sz val="10"/>
      <name val="Tahoma"/>
      <family val="2"/>
    </font>
    <font>
      <sz val="9"/>
      <name val="Tahoma"/>
      <family val="2"/>
    </font>
    <font>
      <b/>
      <sz val="9"/>
      <name val="Tahoma"/>
      <family val="2"/>
    </font>
    <font>
      <sz val="14"/>
      <color indexed="8"/>
      <name val="Times New Roman"/>
      <family val="1"/>
    </font>
    <font>
      <sz val="16"/>
      <name val="Times New Roman"/>
      <family val="1"/>
    </font>
    <font>
      <b/>
      <sz val="11"/>
      <name val="Times New Roman"/>
      <family val="1"/>
    </font>
    <font>
      <sz val="12"/>
      <name val="Times New Roman"/>
      <family val="1"/>
    </font>
    <font>
      <b/>
      <sz val="12"/>
      <name val="Times New Roman"/>
      <family val="1"/>
    </font>
    <font>
      <sz val="12"/>
      <name val="Arial Cyr"/>
      <family val="0"/>
    </font>
    <font>
      <b/>
      <i/>
      <sz val="12"/>
      <name val="Times New Roman"/>
      <family val="1"/>
    </font>
    <font>
      <sz val="12"/>
      <color indexed="8"/>
      <name val="Arial"/>
      <family val="2"/>
    </font>
    <font>
      <sz val="12"/>
      <color indexed="8"/>
      <name val="Times New Roman"/>
      <family val="1"/>
    </font>
    <font>
      <b/>
      <u val="single"/>
      <sz val="12"/>
      <name val="Times New Roman"/>
      <family val="1"/>
    </font>
    <font>
      <u val="single"/>
      <sz val="12"/>
      <name val="Times New Roman"/>
      <family val="1"/>
    </font>
    <font>
      <b/>
      <sz val="12"/>
      <color indexed="8"/>
      <name val="Times New Roman"/>
      <family val="1"/>
    </font>
    <font>
      <i/>
      <sz val="12"/>
      <color indexed="8"/>
      <name val="Times New Roman"/>
      <family val="1"/>
    </font>
    <font>
      <i/>
      <sz val="12"/>
      <name val="Times New Roman"/>
      <family val="1"/>
    </font>
    <font>
      <b/>
      <sz val="10.5"/>
      <name val="Times New Roman"/>
      <family val="1"/>
    </font>
    <font>
      <sz val="11.5"/>
      <name val="Times New Roman"/>
      <family val="1"/>
    </font>
    <font>
      <b/>
      <sz val="1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2" borderId="0" applyNumberFormat="0" applyBorder="0" applyAlignment="0" applyProtection="0"/>
  </cellStyleXfs>
  <cellXfs count="25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5" fillId="0" borderId="0" xfId="0" applyFont="1" applyAlignment="1">
      <alignment/>
    </xf>
    <xf numFmtId="0" fontId="12" fillId="0" borderId="0" xfId="0" applyFont="1" applyAlignment="1">
      <alignment horizontal="right"/>
    </xf>
    <xf numFmtId="177" fontId="3" fillId="0" borderId="0" xfId="0" applyNumberFormat="1" applyFont="1" applyAlignment="1">
      <alignment/>
    </xf>
    <xf numFmtId="0" fontId="3" fillId="0" borderId="0" xfId="0" applyFont="1" applyAlignment="1">
      <alignment horizontal="center"/>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12" fillId="0" borderId="0" xfId="0" applyFont="1" applyAlignment="1">
      <alignment horizontal="justify"/>
    </xf>
    <xf numFmtId="0" fontId="13" fillId="33" borderId="10" xfId="0" applyFont="1" applyFill="1" applyBorder="1" applyAlignment="1">
      <alignment vertical="top" wrapText="1"/>
    </xf>
    <xf numFmtId="0" fontId="15" fillId="0" borderId="0" xfId="0" applyFont="1" applyAlignment="1">
      <alignment/>
    </xf>
    <xf numFmtId="0" fontId="15" fillId="0" borderId="0" xfId="0" applyFont="1" applyAlignment="1">
      <alignment horizontal="justify"/>
    </xf>
    <xf numFmtId="0" fontId="16" fillId="0" borderId="0" xfId="0" applyFont="1" applyAlignment="1">
      <alignment/>
    </xf>
    <xf numFmtId="0" fontId="15" fillId="0" borderId="0" xfId="0" applyFont="1" applyAlignment="1">
      <alignment vertical="top" wrapText="1"/>
    </xf>
    <xf numFmtId="0" fontId="17" fillId="0" borderId="0" xfId="0" applyFont="1" applyAlignment="1">
      <alignment/>
    </xf>
    <xf numFmtId="0" fontId="15" fillId="0" borderId="0" xfId="0" applyFont="1" applyAlignment="1">
      <alignment vertical="top"/>
    </xf>
    <xf numFmtId="0" fontId="14" fillId="0" borderId="10" xfId="0" applyFont="1" applyBorder="1" applyAlignment="1">
      <alignment horizontal="center" vertical="top" wrapText="1"/>
    </xf>
    <xf numFmtId="177" fontId="15" fillId="0" borderId="0" xfId="0" applyNumberFormat="1" applyFont="1" applyAlignment="1">
      <alignment/>
    </xf>
    <xf numFmtId="0" fontId="15" fillId="0" borderId="0" xfId="0" applyFont="1" applyAlignment="1">
      <alignment horizontal="right"/>
    </xf>
    <xf numFmtId="0" fontId="15" fillId="0" borderId="10" xfId="0" applyFont="1" applyBorder="1" applyAlignment="1">
      <alignment horizontal="center" vertical="top" wrapText="1"/>
    </xf>
    <xf numFmtId="0" fontId="16" fillId="0" borderId="10" xfId="0" applyFont="1" applyBorder="1" applyAlignment="1">
      <alignment vertical="top" wrapText="1"/>
    </xf>
    <xf numFmtId="0" fontId="16" fillId="0" borderId="10" xfId="0" applyFont="1" applyBorder="1" applyAlignment="1">
      <alignment horizontal="center" vertical="top" wrapText="1"/>
    </xf>
    <xf numFmtId="0" fontId="15" fillId="0" borderId="10" xfId="0" applyFont="1" applyBorder="1" applyAlignment="1">
      <alignment vertical="top" wrapText="1"/>
    </xf>
    <xf numFmtId="0" fontId="15" fillId="0" borderId="10" xfId="0" applyFont="1" applyBorder="1" applyAlignment="1">
      <alignment horizontal="left" vertical="top" wrapText="1"/>
    </xf>
    <xf numFmtId="1" fontId="16" fillId="0" borderId="10" xfId="0" applyNumberFormat="1" applyFont="1" applyBorder="1" applyAlignment="1">
      <alignment vertical="top" wrapText="1"/>
    </xf>
    <xf numFmtId="0" fontId="16" fillId="0" borderId="10" xfId="0" applyFont="1" applyBorder="1" applyAlignment="1">
      <alignment vertical="center" wrapText="1"/>
    </xf>
    <xf numFmtId="0" fontId="15" fillId="0" borderId="10" xfId="0" applyFont="1" applyBorder="1" applyAlignment="1">
      <alignment vertical="center" wrapText="1"/>
    </xf>
    <xf numFmtId="0" fontId="16" fillId="0" borderId="0" xfId="0" applyFont="1" applyAlignment="1">
      <alignment/>
    </xf>
    <xf numFmtId="0" fontId="18" fillId="0" borderId="0" xfId="0" applyFont="1" applyAlignment="1">
      <alignment/>
    </xf>
    <xf numFmtId="0" fontId="15" fillId="0" borderId="10" xfId="0" applyFont="1" applyBorder="1" applyAlignment="1">
      <alignment horizontal="justify" vertical="top" wrapText="1"/>
    </xf>
    <xf numFmtId="0" fontId="19" fillId="0" borderId="10" xfId="0" applyFont="1" applyBorder="1" applyAlignment="1">
      <alignment horizontal="left" vertical="center" wrapText="1"/>
    </xf>
    <xf numFmtId="0" fontId="18" fillId="0" borderId="0" xfId="0" applyFont="1" applyAlignment="1">
      <alignment horizontal="justify"/>
    </xf>
    <xf numFmtId="0" fontId="15" fillId="0" borderId="0" xfId="0" applyFont="1" applyAlignment="1">
      <alignment horizontal="left" vertical="center" wrapText="1"/>
    </xf>
    <xf numFmtId="0" fontId="15" fillId="0" borderId="0" xfId="0" applyFont="1" applyAlignment="1">
      <alignment/>
    </xf>
    <xf numFmtId="0" fontId="15" fillId="0" borderId="0" xfId="0" applyFont="1" applyAlignment="1">
      <alignment horizontal="left"/>
    </xf>
    <xf numFmtId="0" fontId="16" fillId="0" borderId="0" xfId="0" applyFont="1" applyAlignment="1">
      <alignment horizontal="center"/>
    </xf>
    <xf numFmtId="0" fontId="15" fillId="0" borderId="0" xfId="0" applyFont="1" applyBorder="1" applyAlignment="1">
      <alignment/>
    </xf>
    <xf numFmtId="0" fontId="20" fillId="0" borderId="0" xfId="0" applyFont="1" applyBorder="1" applyAlignment="1">
      <alignment horizontal="left" vertical="center" wrapText="1"/>
    </xf>
    <xf numFmtId="0" fontId="0" fillId="0" borderId="0" xfId="0" applyBorder="1" applyAlignment="1">
      <alignment horizontal="left" vertical="center" wrapText="1"/>
    </xf>
    <xf numFmtId="4" fontId="15" fillId="0" borderId="0" xfId="0" applyNumberFormat="1" applyFont="1" applyBorder="1" applyAlignment="1">
      <alignment/>
    </xf>
    <xf numFmtId="0" fontId="20" fillId="0" borderId="0" xfId="0" applyFont="1" applyAlignment="1">
      <alignment horizontal="center"/>
    </xf>
    <xf numFmtId="14" fontId="2" fillId="0" borderId="0" xfId="0" applyNumberFormat="1" applyFont="1" applyAlignment="1">
      <alignment/>
    </xf>
    <xf numFmtId="0" fontId="16" fillId="0" borderId="0" xfId="0" applyFont="1" applyAlignment="1">
      <alignment horizontal="right"/>
    </xf>
    <xf numFmtId="4" fontId="15" fillId="0" borderId="10" xfId="0" applyNumberFormat="1" applyFont="1" applyBorder="1" applyAlignment="1">
      <alignment horizontal="center" vertical="top" wrapText="1"/>
    </xf>
    <xf numFmtId="4" fontId="15" fillId="34"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0" fontId="15" fillId="0" borderId="10" xfId="0" applyNumberFormat="1" applyFont="1" applyBorder="1" applyAlignment="1">
      <alignment horizontal="center" vertical="top" wrapText="1"/>
    </xf>
    <xf numFmtId="0" fontId="21" fillId="0" borderId="0" xfId="0" applyFont="1" applyAlignment="1">
      <alignment horizontal="justify"/>
    </xf>
    <xf numFmtId="0" fontId="15" fillId="0" borderId="0" xfId="0" applyFont="1" applyAlignment="1">
      <alignment horizontal="left" vertical="top" wrapText="1"/>
    </xf>
    <xf numFmtId="0" fontId="15" fillId="0" borderId="10" xfId="0" applyFont="1" applyBorder="1" applyAlignment="1">
      <alignment horizontal="center" vertical="center" wrapText="1"/>
    </xf>
    <xf numFmtId="0" fontId="21" fillId="0" borderId="0" xfId="0" applyFont="1" applyAlignment="1">
      <alignment vertical="top"/>
    </xf>
    <xf numFmtId="0" fontId="20" fillId="0" borderId="0" xfId="0" applyFont="1" applyAlignment="1">
      <alignment/>
    </xf>
    <xf numFmtId="0" fontId="20" fillId="0" borderId="0" xfId="0" applyFont="1" applyAlignment="1">
      <alignment horizontal="right"/>
    </xf>
    <xf numFmtId="0" fontId="16" fillId="0" borderId="0" xfId="0" applyFont="1" applyAlignment="1">
      <alignment horizontal="left"/>
    </xf>
    <xf numFmtId="0" fontId="16" fillId="33" borderId="10" xfId="0" applyFont="1" applyFill="1" applyBorder="1" applyAlignment="1">
      <alignment vertical="top" wrapText="1"/>
    </xf>
    <xf numFmtId="0" fontId="16" fillId="33" borderId="10" xfId="0" applyFont="1" applyFill="1" applyBorder="1" applyAlignment="1">
      <alignment horizontal="center" vertical="top" wrapText="1"/>
    </xf>
    <xf numFmtId="0" fontId="15" fillId="33" borderId="10" xfId="0" applyFont="1" applyFill="1" applyBorder="1" applyAlignment="1">
      <alignment vertical="top" wrapText="1"/>
    </xf>
    <xf numFmtId="49" fontId="16" fillId="33" borderId="10" xfId="0" applyNumberFormat="1" applyFont="1" applyFill="1" applyBorder="1" applyAlignment="1">
      <alignment vertical="top" wrapText="1"/>
    </xf>
    <xf numFmtId="177" fontId="16" fillId="33" borderId="10" xfId="0" applyNumberFormat="1" applyFont="1" applyFill="1" applyBorder="1" applyAlignment="1">
      <alignment vertical="top" wrapText="1"/>
    </xf>
    <xf numFmtId="177" fontId="15" fillId="33" borderId="10" xfId="0" applyNumberFormat="1" applyFont="1" applyFill="1" applyBorder="1" applyAlignment="1">
      <alignment vertical="top" wrapText="1"/>
    </xf>
    <xf numFmtId="0" fontId="23" fillId="33" borderId="10" xfId="0" applyFont="1" applyFill="1" applyBorder="1" applyAlignment="1">
      <alignment vertical="top" wrapText="1"/>
    </xf>
    <xf numFmtId="177" fontId="16" fillId="33" borderId="10" xfId="0" applyNumberFormat="1" applyFont="1" applyFill="1" applyBorder="1" applyAlignment="1">
      <alignment horizontal="center"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177" fontId="16" fillId="33" borderId="12" xfId="0" applyNumberFormat="1" applyFont="1" applyFill="1" applyBorder="1" applyAlignment="1">
      <alignment vertical="top" wrapText="1"/>
    </xf>
    <xf numFmtId="178" fontId="16" fillId="33" borderId="10" xfId="0" applyNumberFormat="1" applyFont="1" applyFill="1" applyBorder="1" applyAlignment="1">
      <alignment vertical="center" wrapText="1"/>
    </xf>
    <xf numFmtId="0" fontId="16" fillId="33" borderId="10" xfId="0" applyFont="1" applyFill="1" applyBorder="1" applyAlignment="1">
      <alignment vertical="center" wrapText="1"/>
    </xf>
    <xf numFmtId="178" fontId="15" fillId="33" borderId="10" xfId="0" applyNumberFormat="1" applyFont="1" applyFill="1" applyBorder="1" applyAlignment="1">
      <alignment horizontal="right" vertical="center" wrapText="1"/>
    </xf>
    <xf numFmtId="0" fontId="20" fillId="33" borderId="10" xfId="0" applyFont="1" applyFill="1" applyBorder="1" applyAlignment="1">
      <alignment vertical="top" wrapText="1"/>
    </xf>
    <xf numFmtId="0" fontId="15" fillId="33" borderId="10" xfId="0" applyFont="1" applyFill="1" applyBorder="1" applyAlignment="1">
      <alignment horizontal="right" vertical="top" wrapText="1" indent="1"/>
    </xf>
    <xf numFmtId="0" fontId="16" fillId="33" borderId="10" xfId="0" applyFont="1" applyFill="1" applyBorder="1" applyAlignment="1">
      <alignment horizontal="left" vertical="top" wrapText="1" indent="1"/>
    </xf>
    <xf numFmtId="0" fontId="16" fillId="33" borderId="10" xfId="0" applyFont="1" applyFill="1" applyBorder="1" applyAlignment="1">
      <alignment horizontal="justify" vertical="top" wrapText="1"/>
    </xf>
    <xf numFmtId="0" fontId="20" fillId="0" borderId="0" xfId="0" applyFont="1" applyAlignment="1">
      <alignment horizontal="justify"/>
    </xf>
    <xf numFmtId="0" fontId="24" fillId="0" borderId="0" xfId="0" applyFont="1" applyAlignment="1">
      <alignment horizontal="justify"/>
    </xf>
    <xf numFmtId="0" fontId="23" fillId="0" borderId="10" xfId="0" applyFont="1" applyBorder="1" applyAlignment="1">
      <alignment vertical="top" wrapText="1"/>
    </xf>
    <xf numFmtId="0" fontId="20" fillId="0" borderId="10" xfId="0" applyFont="1" applyBorder="1" applyAlignment="1">
      <alignment vertical="top" wrapText="1"/>
    </xf>
    <xf numFmtId="178" fontId="20" fillId="0" borderId="10" xfId="0" applyNumberFormat="1" applyFont="1" applyBorder="1" applyAlignment="1">
      <alignment vertical="top" wrapText="1"/>
    </xf>
    <xf numFmtId="4" fontId="20" fillId="0" borderId="10" xfId="0" applyNumberFormat="1" applyFont="1" applyBorder="1" applyAlignment="1">
      <alignment vertical="top" wrapText="1"/>
    </xf>
    <xf numFmtId="0" fontId="15" fillId="0" borderId="0" xfId="0" applyFont="1" applyAlignment="1">
      <alignment horizontal="right" vertical="top"/>
    </xf>
    <xf numFmtId="0" fontId="20" fillId="0" borderId="0" xfId="0" applyFont="1" applyAlignment="1">
      <alignment horizontal="right" vertical="top"/>
    </xf>
    <xf numFmtId="178" fontId="15" fillId="0" borderId="10" xfId="0" applyNumberFormat="1" applyFont="1" applyBorder="1" applyAlignment="1">
      <alignment/>
    </xf>
    <xf numFmtId="178" fontId="15" fillId="0" borderId="10" xfId="0" applyNumberFormat="1" applyFont="1" applyFill="1" applyBorder="1" applyAlignment="1">
      <alignment/>
    </xf>
    <xf numFmtId="178" fontId="15" fillId="35" borderId="10" xfId="0" applyNumberFormat="1" applyFont="1" applyFill="1" applyBorder="1" applyAlignment="1">
      <alignment/>
    </xf>
    <xf numFmtId="178" fontId="15" fillId="34" borderId="10" xfId="0" applyNumberFormat="1" applyFont="1" applyFill="1" applyBorder="1" applyAlignment="1">
      <alignment/>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top" wrapText="1"/>
    </xf>
    <xf numFmtId="0" fontId="15" fillId="0" borderId="0" xfId="0" applyFont="1" applyBorder="1" applyAlignment="1">
      <alignment wrapText="1"/>
    </xf>
    <xf numFmtId="0" fontId="15" fillId="0" borderId="0" xfId="0" applyFont="1" applyAlignment="1">
      <alignment wrapText="1"/>
    </xf>
    <xf numFmtId="179" fontId="15" fillId="0" borderId="0" xfId="0" applyNumberFormat="1" applyFont="1" applyAlignment="1">
      <alignment/>
    </xf>
    <xf numFmtId="178" fontId="15" fillId="0" borderId="0" xfId="0" applyNumberFormat="1" applyFont="1" applyAlignment="1">
      <alignment/>
    </xf>
    <xf numFmtId="4" fontId="15" fillId="0" borderId="0" xfId="0" applyNumberFormat="1" applyFont="1" applyAlignment="1">
      <alignment/>
    </xf>
    <xf numFmtId="178" fontId="2" fillId="0" borderId="0" xfId="0" applyNumberFormat="1" applyFont="1" applyAlignment="1">
      <alignment/>
    </xf>
    <xf numFmtId="4" fontId="16" fillId="33" borderId="10" xfId="0" applyNumberFormat="1" applyFont="1" applyFill="1" applyBorder="1" applyAlignment="1">
      <alignment vertical="center" wrapText="1"/>
    </xf>
    <xf numFmtId="4" fontId="15" fillId="33" borderId="10" xfId="0" applyNumberFormat="1" applyFont="1" applyFill="1" applyBorder="1" applyAlignment="1">
      <alignment horizontal="right" vertical="center" wrapText="1"/>
    </xf>
    <xf numFmtId="0" fontId="15" fillId="0" borderId="11" xfId="0" applyFont="1" applyBorder="1" applyAlignment="1">
      <alignment horizontal="center" vertical="top"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5" fillId="0" borderId="11" xfId="0" applyFont="1" applyBorder="1" applyAlignment="1">
      <alignment horizontal="left" vertical="top" wrapText="1"/>
    </xf>
    <xf numFmtId="0" fontId="15" fillId="0" borderId="11" xfId="0" applyFont="1" applyBorder="1" applyAlignment="1">
      <alignment vertical="top" wrapText="1"/>
    </xf>
    <xf numFmtId="0" fontId="16" fillId="0" borderId="11" xfId="0" applyFont="1" applyBorder="1" applyAlignment="1">
      <alignment vertical="center" wrapText="1"/>
    </xf>
    <xf numFmtId="0" fontId="15" fillId="0" borderId="11" xfId="0" applyFont="1" applyBorder="1" applyAlignment="1">
      <alignment vertical="center" wrapText="1"/>
    </xf>
    <xf numFmtId="0" fontId="15" fillId="33" borderId="10" xfId="0" applyFont="1" applyFill="1" applyBorder="1" applyAlignment="1">
      <alignment horizontal="right" vertical="top" wrapText="1"/>
    </xf>
    <xf numFmtId="49" fontId="15" fillId="33" borderId="10" xfId="0" applyNumberFormat="1" applyFont="1" applyFill="1" applyBorder="1" applyAlignment="1">
      <alignment horizontal="right" vertical="top" wrapText="1" indent="1"/>
    </xf>
    <xf numFmtId="0" fontId="2" fillId="0" borderId="10" xfId="0" applyFont="1" applyBorder="1" applyAlignment="1">
      <alignment/>
    </xf>
    <xf numFmtId="0" fontId="5" fillId="33" borderId="10" xfId="0" applyFont="1" applyFill="1" applyBorder="1" applyAlignment="1">
      <alignment horizontal="center" vertical="top" wrapText="1"/>
    </xf>
    <xf numFmtId="0" fontId="15" fillId="0" borderId="0" xfId="0" applyFont="1" applyAlignment="1">
      <alignment horizontal="center"/>
    </xf>
    <xf numFmtId="0" fontId="16" fillId="0" borderId="11" xfId="0" applyFont="1" applyBorder="1" applyAlignment="1">
      <alignment horizontal="center" vertical="top" wrapText="1"/>
    </xf>
    <xf numFmtId="0" fontId="18" fillId="0" borderId="0" xfId="0" applyFont="1" applyAlignment="1">
      <alignment horizontal="center"/>
    </xf>
    <xf numFmtId="0" fontId="19" fillId="0" borderId="10" xfId="0" applyFont="1" applyBorder="1" applyAlignment="1">
      <alignment horizontal="center" vertical="center" wrapText="1"/>
    </xf>
    <xf numFmtId="0" fontId="16" fillId="33" borderId="11"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20" fillId="33" borderId="10" xfId="0" applyFont="1" applyFill="1" applyBorder="1" applyAlignment="1">
      <alignment horizontal="center" vertical="top" wrapText="1"/>
    </xf>
    <xf numFmtId="49" fontId="15" fillId="33" borderId="10" xfId="0" applyNumberFormat="1" applyFont="1" applyFill="1" applyBorder="1" applyAlignment="1">
      <alignment horizontal="center" vertical="top" wrapText="1"/>
    </xf>
    <xf numFmtId="0" fontId="24" fillId="0" borderId="0" xfId="0" applyFont="1" applyAlignment="1">
      <alignment horizontal="center"/>
    </xf>
    <xf numFmtId="0" fontId="23" fillId="0" borderId="10" xfId="0" applyFont="1" applyBorder="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center" vertical="top"/>
    </xf>
    <xf numFmtId="0" fontId="15" fillId="0" borderId="0" xfId="0" applyFont="1" applyAlignment="1">
      <alignment horizontal="center" vertical="top"/>
    </xf>
    <xf numFmtId="0" fontId="17" fillId="0" borderId="0" xfId="0" applyFont="1" applyAlignment="1">
      <alignment horizontal="center"/>
    </xf>
    <xf numFmtId="0" fontId="26" fillId="33" borderId="10" xfId="0" applyFont="1" applyFill="1" applyBorder="1" applyAlignment="1">
      <alignment vertical="top" wrapText="1"/>
    </xf>
    <xf numFmtId="0" fontId="27" fillId="33" borderId="10" xfId="0" applyFont="1" applyFill="1" applyBorder="1" applyAlignment="1">
      <alignment horizontal="right" vertical="top" wrapText="1" indent="1"/>
    </xf>
    <xf numFmtId="0" fontId="27" fillId="33" borderId="10" xfId="0" applyFont="1" applyFill="1" applyBorder="1" applyAlignment="1">
      <alignment horizontal="right" vertical="top" wrapText="1"/>
    </xf>
    <xf numFmtId="0" fontId="28" fillId="33" borderId="10" xfId="0" applyFont="1" applyFill="1" applyBorder="1" applyAlignment="1">
      <alignment horizontal="right" vertical="top" wrapText="1"/>
    </xf>
    <xf numFmtId="49" fontId="27" fillId="33" borderId="10" xfId="0" applyNumberFormat="1" applyFont="1" applyFill="1" applyBorder="1" applyAlignment="1">
      <alignment horizontal="right" vertical="top" wrapText="1"/>
    </xf>
    <xf numFmtId="49" fontId="23" fillId="33" borderId="10" xfId="0" applyNumberFormat="1" applyFont="1" applyFill="1" applyBorder="1" applyAlignment="1">
      <alignment horizontal="center" vertical="top" wrapText="1"/>
    </xf>
    <xf numFmtId="49" fontId="20" fillId="33" borderId="10" xfId="0" applyNumberFormat="1" applyFont="1" applyFill="1" applyBorder="1" applyAlignment="1">
      <alignment horizontal="center" vertical="top" wrapText="1"/>
    </xf>
    <xf numFmtId="180" fontId="15" fillId="0" borderId="0" xfId="0" applyNumberFormat="1" applyFont="1" applyAlignment="1">
      <alignment/>
    </xf>
    <xf numFmtId="180" fontId="15" fillId="0" borderId="10" xfId="0" applyNumberFormat="1" applyFont="1" applyBorder="1" applyAlignment="1">
      <alignment horizontal="center" vertical="top" wrapText="1"/>
    </xf>
    <xf numFmtId="180" fontId="16" fillId="0" borderId="10" xfId="0" applyNumberFormat="1" applyFont="1" applyBorder="1" applyAlignment="1">
      <alignment horizontal="center" vertical="top" wrapText="1"/>
    </xf>
    <xf numFmtId="180" fontId="18" fillId="0" borderId="0" xfId="0" applyNumberFormat="1" applyFont="1" applyAlignment="1">
      <alignment/>
    </xf>
    <xf numFmtId="180" fontId="15" fillId="0" borderId="0" xfId="0" applyNumberFormat="1" applyFont="1" applyAlignment="1">
      <alignment horizontal="right"/>
    </xf>
    <xf numFmtId="180" fontId="15" fillId="0" borderId="10" xfId="0" applyNumberFormat="1" applyFont="1" applyBorder="1" applyAlignment="1">
      <alignment horizontal="justify" vertical="top" wrapText="1"/>
    </xf>
    <xf numFmtId="180" fontId="15" fillId="33" borderId="10" xfId="0" applyNumberFormat="1" applyFont="1" applyFill="1" applyBorder="1" applyAlignment="1">
      <alignment vertical="top" wrapText="1"/>
    </xf>
    <xf numFmtId="180" fontId="16" fillId="33" borderId="10" xfId="0" applyNumberFormat="1" applyFont="1" applyFill="1" applyBorder="1" applyAlignment="1">
      <alignment vertical="top" wrapText="1"/>
    </xf>
    <xf numFmtId="180" fontId="16" fillId="33" borderId="10" xfId="0" applyNumberFormat="1" applyFont="1" applyFill="1" applyBorder="1" applyAlignment="1">
      <alignment horizontal="center" vertical="top" wrapText="1"/>
    </xf>
    <xf numFmtId="180" fontId="16" fillId="33" borderId="11" xfId="0" applyNumberFormat="1" applyFont="1" applyFill="1" applyBorder="1" applyAlignment="1">
      <alignment vertical="top" wrapText="1"/>
    </xf>
    <xf numFmtId="180" fontId="16" fillId="33" borderId="12" xfId="0" applyNumberFormat="1" applyFont="1" applyFill="1" applyBorder="1" applyAlignment="1">
      <alignment vertical="top" wrapText="1"/>
    </xf>
    <xf numFmtId="180" fontId="16" fillId="33" borderId="10" xfId="0" applyNumberFormat="1" applyFont="1" applyFill="1" applyBorder="1" applyAlignment="1">
      <alignment vertical="center" wrapText="1"/>
    </xf>
    <xf numFmtId="180" fontId="15" fillId="33" borderId="10" xfId="0" applyNumberFormat="1" applyFont="1" applyFill="1" applyBorder="1" applyAlignment="1">
      <alignment horizontal="right" vertical="center" wrapText="1"/>
    </xf>
    <xf numFmtId="180" fontId="25" fillId="33" borderId="10" xfId="0" applyNumberFormat="1" applyFont="1" applyFill="1" applyBorder="1" applyAlignment="1">
      <alignment horizontal="right" vertical="center" wrapText="1"/>
    </xf>
    <xf numFmtId="180" fontId="15" fillId="0" borderId="10" xfId="0" applyNumberFormat="1" applyFont="1" applyFill="1" applyBorder="1" applyAlignment="1">
      <alignment horizontal="right" vertical="center" wrapText="1"/>
    </xf>
    <xf numFmtId="180" fontId="16" fillId="33" borderId="10" xfId="0" applyNumberFormat="1" applyFont="1" applyFill="1" applyBorder="1" applyAlignment="1">
      <alignment horizontal="right" vertical="center" wrapText="1"/>
    </xf>
    <xf numFmtId="180" fontId="23" fillId="0" borderId="10" xfId="0" applyNumberFormat="1" applyFont="1" applyBorder="1" applyAlignment="1">
      <alignment vertical="top" wrapText="1"/>
    </xf>
    <xf numFmtId="180" fontId="20" fillId="0" borderId="10" xfId="0" applyNumberFormat="1" applyFont="1" applyBorder="1" applyAlignment="1">
      <alignment vertical="top" wrapText="1"/>
    </xf>
    <xf numFmtId="180" fontId="15" fillId="0" borderId="0" xfId="0" applyNumberFormat="1" applyFont="1" applyAlignment="1">
      <alignment horizontal="left" vertical="center" wrapText="1"/>
    </xf>
    <xf numFmtId="180" fontId="15" fillId="0" borderId="0" xfId="0" applyNumberFormat="1" applyFont="1" applyBorder="1" applyAlignment="1">
      <alignment/>
    </xf>
    <xf numFmtId="180" fontId="15" fillId="0" borderId="0" xfId="0" applyNumberFormat="1" applyFont="1" applyAlignment="1">
      <alignment/>
    </xf>
    <xf numFmtId="180" fontId="20" fillId="0" borderId="0" xfId="0" applyNumberFormat="1" applyFont="1" applyAlignment="1">
      <alignment horizontal="justify"/>
    </xf>
    <xf numFmtId="180" fontId="15" fillId="0" borderId="0" xfId="0" applyNumberFormat="1" applyFont="1" applyAlignment="1">
      <alignment horizontal="left"/>
    </xf>
    <xf numFmtId="180" fontId="17" fillId="0" borderId="0" xfId="0" applyNumberFormat="1" applyFont="1" applyAlignment="1">
      <alignment/>
    </xf>
    <xf numFmtId="0" fontId="1" fillId="0" borderId="0" xfId="0" applyFont="1" applyAlignment="1">
      <alignment horizontal="center"/>
    </xf>
    <xf numFmtId="0" fontId="1" fillId="0" borderId="0" xfId="0" applyFont="1" applyAlignment="1">
      <alignment horizontal="center" wrapText="1"/>
    </xf>
    <xf numFmtId="0" fontId="13" fillId="33" borderId="10" xfId="0" applyFont="1" applyFill="1" applyBorder="1" applyAlignment="1">
      <alignment horizontal="center" vertical="top"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13" fillId="33" borderId="16" xfId="0" applyFont="1" applyFill="1" applyBorder="1" applyAlignment="1">
      <alignment horizontal="left" vertical="top" wrapText="1"/>
    </xf>
    <xf numFmtId="14" fontId="13" fillId="33" borderId="10" xfId="0" applyNumberFormat="1"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53" fillId="33" borderId="10" xfId="42" applyFill="1" applyBorder="1" applyAlignment="1" applyProtection="1">
      <alignment horizontal="center" vertical="top" wrapText="1"/>
      <protection/>
    </xf>
    <xf numFmtId="49" fontId="13" fillId="33" borderId="10" xfId="0" applyNumberFormat="1" applyFont="1" applyFill="1" applyBorder="1" applyAlignment="1">
      <alignment horizontal="center" vertical="top" wrapText="1"/>
    </xf>
    <xf numFmtId="0" fontId="15" fillId="0" borderId="10" xfId="0" applyFont="1" applyBorder="1" applyAlignment="1">
      <alignment horizontal="center" vertical="top" wrapText="1"/>
    </xf>
    <xf numFmtId="0" fontId="20" fillId="0" borderId="10" xfId="0" applyFont="1" applyBorder="1" applyAlignment="1">
      <alignment horizontal="left" vertical="center" wrapText="1"/>
    </xf>
    <xf numFmtId="0" fontId="0" fillId="0" borderId="10" xfId="0" applyBorder="1" applyAlignment="1">
      <alignment horizontal="left"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top" wrapText="1"/>
    </xf>
    <xf numFmtId="0" fontId="15" fillId="0" borderId="16" xfId="0" applyFont="1" applyBorder="1" applyAlignment="1">
      <alignment horizontal="center" vertical="top" wrapText="1"/>
    </xf>
    <xf numFmtId="0" fontId="16" fillId="0" borderId="0" xfId="0" applyFont="1" applyAlignment="1">
      <alignment horizontal="center" wrapText="1"/>
    </xf>
    <xf numFmtId="0" fontId="15" fillId="0" borderId="0" xfId="0" applyFont="1" applyAlignment="1">
      <alignment horizontal="left"/>
    </xf>
    <xf numFmtId="0" fontId="0" fillId="0" borderId="0" xfId="0"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5" fillId="33" borderId="0" xfId="0" applyFont="1" applyFill="1" applyBorder="1" applyAlignment="1">
      <alignment horizontal="left" wrapText="1"/>
    </xf>
    <xf numFmtId="0" fontId="15" fillId="0" borderId="0" xfId="0" applyFont="1" applyAlignment="1">
      <alignment horizontal="left" vertical="justify" wrapText="1"/>
    </xf>
    <xf numFmtId="0" fontId="21" fillId="0" borderId="0" xfId="0" applyFont="1" applyAlignment="1">
      <alignment/>
    </xf>
    <xf numFmtId="0" fontId="15" fillId="0" borderId="0" xfId="0" applyFont="1" applyAlignment="1">
      <alignment horizontal="left" vertical="top" wrapText="1"/>
    </xf>
    <xf numFmtId="0" fontId="14" fillId="0" borderId="11" xfId="0" applyFont="1" applyBorder="1" applyAlignment="1">
      <alignment horizontal="center" vertical="top" wrapText="1"/>
    </xf>
    <xf numFmtId="0" fontId="14" fillId="0" borderId="16" xfId="0" applyFont="1" applyBorder="1" applyAlignment="1">
      <alignment horizontal="center" vertical="top"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4" fillId="0" borderId="10" xfId="0" applyFont="1" applyBorder="1" applyAlignment="1">
      <alignment horizontal="center" vertical="top" wrapText="1"/>
    </xf>
    <xf numFmtId="0" fontId="16" fillId="0" borderId="10" xfId="0" applyFont="1" applyBorder="1" applyAlignment="1">
      <alignment horizontal="center" vertical="top" wrapText="1"/>
    </xf>
    <xf numFmtId="178" fontId="16" fillId="0" borderId="11" xfId="0" applyNumberFormat="1" applyFont="1" applyBorder="1" applyAlignment="1">
      <alignment horizontal="center" vertical="center" wrapText="1"/>
    </xf>
    <xf numFmtId="178" fontId="16" fillId="0" borderId="16" xfId="0" applyNumberFormat="1" applyFont="1" applyBorder="1" applyAlignment="1">
      <alignment horizontal="center" vertical="center" wrapText="1"/>
    </xf>
    <xf numFmtId="178" fontId="16" fillId="0" borderId="12" xfId="0" applyNumberFormat="1" applyFont="1" applyBorder="1" applyAlignment="1">
      <alignment horizontal="center" vertical="center" wrapText="1"/>
    </xf>
    <xf numFmtId="0" fontId="16" fillId="0" borderId="10" xfId="0" applyFont="1" applyBorder="1" applyAlignment="1">
      <alignment vertical="top" wrapText="1"/>
    </xf>
    <xf numFmtId="178" fontId="16" fillId="0" borderId="10" xfId="0" applyNumberFormat="1" applyFont="1" applyBorder="1" applyAlignment="1">
      <alignment horizontal="center" vertical="center" wrapText="1"/>
    </xf>
    <xf numFmtId="178" fontId="16" fillId="0" borderId="10" xfId="0" applyNumberFormat="1" applyFont="1" applyBorder="1" applyAlignment="1">
      <alignment horizontal="center" vertical="top" wrapText="1"/>
    </xf>
    <xf numFmtId="2" fontId="16" fillId="0" borderId="10" xfId="0" applyNumberFormat="1" applyFont="1" applyBorder="1" applyAlignment="1">
      <alignment horizontal="center" vertical="top" wrapText="1"/>
    </xf>
    <xf numFmtId="0" fontId="16" fillId="0" borderId="17"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5" fillId="0" borderId="11" xfId="0" applyFont="1" applyBorder="1" applyAlignment="1">
      <alignment horizontal="left" vertical="center" wrapText="1"/>
    </xf>
    <xf numFmtId="0" fontId="15" fillId="0" borderId="16" xfId="0" applyFont="1" applyBorder="1" applyAlignment="1">
      <alignment horizontal="left" vertical="center" wrapText="1"/>
    </xf>
    <xf numFmtId="178" fontId="16" fillId="0" borderId="11" xfId="0" applyNumberFormat="1" applyFont="1" applyBorder="1" applyAlignment="1">
      <alignment horizontal="center" vertical="top" wrapText="1"/>
    </xf>
    <xf numFmtId="178" fontId="16" fillId="0" borderId="12" xfId="0" applyNumberFormat="1" applyFont="1" applyBorder="1" applyAlignment="1">
      <alignment horizontal="center" vertical="top" wrapText="1"/>
    </xf>
    <xf numFmtId="178" fontId="16" fillId="0" borderId="16" xfId="0" applyNumberFormat="1" applyFont="1" applyBorder="1" applyAlignment="1">
      <alignment horizontal="center" vertical="top" wrapText="1"/>
    </xf>
    <xf numFmtId="0" fontId="15" fillId="0" borderId="17" xfId="0" applyFont="1" applyBorder="1" applyAlignment="1">
      <alignment horizontal="center" vertical="top" wrapText="1"/>
    </xf>
    <xf numFmtId="0" fontId="15" fillId="0" borderId="13"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16" xfId="0" applyFont="1" applyBorder="1" applyAlignment="1">
      <alignment horizontal="center" vertical="top" wrapText="1"/>
    </xf>
    <xf numFmtId="0" fontId="16" fillId="0" borderId="11" xfId="0" applyFont="1" applyBorder="1" applyAlignment="1">
      <alignment vertical="top" wrapText="1"/>
    </xf>
    <xf numFmtId="0" fontId="16" fillId="0" borderId="12" xfId="0" applyFont="1" applyBorder="1" applyAlignment="1">
      <alignment vertical="top" wrapText="1"/>
    </xf>
    <xf numFmtId="0" fontId="16" fillId="0" borderId="16" xfId="0" applyFont="1" applyBorder="1" applyAlignment="1">
      <alignment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15" fillId="0" borderId="12" xfId="0" applyFont="1" applyBorder="1" applyAlignment="1">
      <alignment horizontal="center"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6" xfId="0" applyFont="1" applyBorder="1" applyAlignment="1">
      <alignment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2" fontId="16" fillId="0" borderId="11" xfId="0" applyNumberFormat="1" applyFont="1" applyBorder="1" applyAlignment="1">
      <alignment vertical="top" wrapText="1"/>
    </xf>
    <xf numFmtId="2" fontId="16" fillId="0" borderId="16" xfId="0" applyNumberFormat="1" applyFont="1" applyBorder="1" applyAlignment="1">
      <alignment vertical="top" wrapText="1"/>
    </xf>
    <xf numFmtId="2" fontId="16" fillId="0" borderId="12" xfId="0" applyNumberFormat="1" applyFont="1" applyBorder="1" applyAlignment="1">
      <alignment vertical="top"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15" fillId="0" borderId="18" xfId="0" applyFont="1" applyBorder="1" applyAlignment="1">
      <alignment horizontal="center" vertical="top" wrapText="1"/>
    </xf>
    <xf numFmtId="178" fontId="16" fillId="0" borderId="11" xfId="0" applyNumberFormat="1" applyFont="1" applyBorder="1" applyAlignment="1">
      <alignment vertical="top" wrapText="1"/>
    </xf>
    <xf numFmtId="178" fontId="16" fillId="0" borderId="16" xfId="0" applyNumberFormat="1" applyFont="1" applyBorder="1" applyAlignment="1">
      <alignment vertical="top" wrapText="1"/>
    </xf>
    <xf numFmtId="178" fontId="16" fillId="0" borderId="12" xfId="0" applyNumberFormat="1" applyFont="1" applyBorder="1" applyAlignment="1">
      <alignment vertical="top" wrapText="1"/>
    </xf>
    <xf numFmtId="0" fontId="15" fillId="0" borderId="0" xfId="0" applyFont="1" applyAlignment="1">
      <alignment horizontal="center"/>
    </xf>
    <xf numFmtId="0" fontId="20" fillId="0" borderId="19" xfId="0" applyFont="1" applyBorder="1" applyAlignment="1">
      <alignment horizontal="left" wrapText="1"/>
    </xf>
    <xf numFmtId="180" fontId="15" fillId="0" borderId="0" xfId="0" applyNumberFormat="1" applyFont="1" applyAlignment="1">
      <alignment horizontal="center"/>
    </xf>
    <xf numFmtId="180" fontId="15" fillId="0" borderId="11" xfId="0" applyNumberFormat="1" applyFont="1" applyBorder="1" applyAlignment="1">
      <alignment horizontal="center" vertical="center" wrapText="1"/>
    </xf>
    <xf numFmtId="180" fontId="15" fillId="0" borderId="16" xfId="0" applyNumberFormat="1" applyFont="1" applyBorder="1" applyAlignment="1">
      <alignment horizontal="center" vertical="center" wrapText="1"/>
    </xf>
    <xf numFmtId="180" fontId="16" fillId="0" borderId="11" xfId="0" applyNumberFormat="1" applyFont="1" applyBorder="1" applyAlignment="1">
      <alignment horizontal="center" vertical="center" wrapText="1"/>
    </xf>
    <xf numFmtId="180" fontId="16" fillId="0" borderId="16" xfId="0" applyNumberFormat="1" applyFont="1" applyBorder="1" applyAlignment="1">
      <alignment horizontal="center" vertical="center" wrapText="1"/>
    </xf>
    <xf numFmtId="180" fontId="15" fillId="0" borderId="11" xfId="0" applyNumberFormat="1" applyFont="1" applyBorder="1" applyAlignment="1">
      <alignment horizontal="left" vertical="center" wrapText="1"/>
    </xf>
    <xf numFmtId="180" fontId="15" fillId="0" borderId="16" xfId="0" applyNumberFormat="1" applyFont="1" applyBorder="1" applyAlignment="1">
      <alignment horizontal="left" vertical="center" wrapText="1"/>
    </xf>
    <xf numFmtId="180" fontId="16" fillId="0" borderId="11" xfId="0" applyNumberFormat="1" applyFont="1" applyBorder="1" applyAlignment="1">
      <alignment vertical="top" wrapText="1"/>
    </xf>
    <xf numFmtId="180" fontId="16" fillId="0" borderId="16" xfId="0" applyNumberFormat="1" applyFont="1" applyBorder="1" applyAlignment="1">
      <alignment vertical="top" wrapText="1"/>
    </xf>
    <xf numFmtId="180" fontId="16" fillId="0" borderId="12" xfId="0" applyNumberFormat="1" applyFont="1" applyBorder="1" applyAlignment="1">
      <alignment vertical="top" wrapText="1"/>
    </xf>
    <xf numFmtId="180" fontId="16" fillId="0" borderId="11" xfId="0" applyNumberFormat="1" applyFont="1" applyBorder="1" applyAlignment="1">
      <alignment horizontal="center" vertical="top" wrapText="1"/>
    </xf>
    <xf numFmtId="180" fontId="16" fillId="0" borderId="16" xfId="0" applyNumberFormat="1" applyFont="1" applyBorder="1" applyAlignment="1">
      <alignment horizontal="center" vertical="top" wrapText="1"/>
    </xf>
    <xf numFmtId="180" fontId="16" fillId="0" borderId="12" xfId="0" applyNumberFormat="1" applyFont="1" applyBorder="1" applyAlignment="1">
      <alignment horizontal="center" vertical="top" wrapText="1"/>
    </xf>
    <xf numFmtId="180" fontId="15" fillId="0" borderId="11" xfId="0" applyNumberFormat="1" applyFont="1" applyBorder="1" applyAlignment="1">
      <alignment horizontal="center" vertical="top" wrapText="1"/>
    </xf>
    <xf numFmtId="180" fontId="15" fillId="0" borderId="12" xfId="0" applyNumberFormat="1" applyFont="1" applyBorder="1" applyAlignment="1">
      <alignment horizontal="center" vertical="top" wrapText="1"/>
    </xf>
    <xf numFmtId="180" fontId="15" fillId="0" borderId="16"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dou5keskilnam@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82"/>
  <sheetViews>
    <sheetView view="pageBreakPreview" zoomScale="80" zoomScaleSheetLayoutView="80" zoomScalePageLayoutView="0" workbookViewId="0" topLeftCell="A1">
      <selection activeCell="A9" sqref="A9"/>
    </sheetView>
  </sheetViews>
  <sheetFormatPr defaultColWidth="9.00390625" defaultRowHeight="12.75"/>
  <cols>
    <col min="1" max="1" width="51.625" style="2" customWidth="1"/>
    <col min="2" max="2" width="42.875" style="2" customWidth="1"/>
    <col min="3" max="3" width="19.00390625" style="2" customWidth="1"/>
    <col min="4" max="4" width="14.125" style="2" customWidth="1"/>
    <col min="5" max="5" width="9.00390625" style="2" customWidth="1"/>
    <col min="6" max="6" width="9.625" style="7" customWidth="1"/>
    <col min="7" max="7" width="11.00390625" style="2" hidden="1" customWidth="1"/>
    <col min="8" max="8" width="11.875" style="2" customWidth="1"/>
    <col min="9" max="9" width="2.625" style="2" hidden="1" customWidth="1"/>
    <col min="10" max="16384" width="9.125" style="3" customWidth="1"/>
  </cols>
  <sheetData>
    <row r="1" ht="18.75">
      <c r="A1" s="6"/>
    </row>
    <row r="2" spans="1:9" ht="18.75">
      <c r="A2" s="155" t="s">
        <v>0</v>
      </c>
      <c r="B2" s="155"/>
      <c r="C2" s="155"/>
      <c r="D2" s="155"/>
      <c r="E2" s="155"/>
      <c r="F2" s="155"/>
      <c r="G2" s="155"/>
      <c r="H2" s="155"/>
      <c r="I2" s="155"/>
    </row>
    <row r="3" spans="1:8" ht="37.5" customHeight="1">
      <c r="A3" s="156" t="s">
        <v>166</v>
      </c>
      <c r="B3" s="156"/>
      <c r="C3" s="156"/>
      <c r="D3" s="156"/>
      <c r="E3" s="156"/>
      <c r="F3" s="156"/>
      <c r="G3" s="156"/>
      <c r="H3" s="156"/>
    </row>
    <row r="4" ht="18.75">
      <c r="B4" s="8" t="s">
        <v>1</v>
      </c>
    </row>
    <row r="5" ht="18.75">
      <c r="A5" s="1" t="s">
        <v>2</v>
      </c>
    </row>
    <row r="6" ht="18.75">
      <c r="A6" s="1"/>
    </row>
    <row r="7" ht="18.75">
      <c r="A7" s="2" t="s">
        <v>3</v>
      </c>
    </row>
    <row r="8" spans="1:3" ht="18.75">
      <c r="A8" s="2" t="s">
        <v>285</v>
      </c>
      <c r="C8" s="2" t="s">
        <v>277</v>
      </c>
    </row>
    <row r="9" spans="1:3" ht="18.75">
      <c r="A9" s="2" t="s">
        <v>278</v>
      </c>
      <c r="C9" s="2" t="s">
        <v>279</v>
      </c>
    </row>
    <row r="11" ht="18.75">
      <c r="A11" s="1" t="s">
        <v>4</v>
      </c>
    </row>
    <row r="12" spans="1:9" ht="74.25" customHeight="1">
      <c r="A12" s="12" t="s">
        <v>5</v>
      </c>
      <c r="B12" s="157" t="str">
        <f>A3</f>
        <v>Муниципальное бюджетное дошкольное образовательное учреждение "Детский сад комбинированного вида №5 "Кэскил" с.Намцы муниципального образования "Намский улус" Республики Саха (Якутия)"</v>
      </c>
      <c r="C12" s="157"/>
      <c r="D12" s="157"/>
      <c r="E12" s="157"/>
      <c r="F12" s="157"/>
      <c r="G12" s="157"/>
      <c r="H12" s="157"/>
      <c r="I12" s="157"/>
    </row>
    <row r="13" spans="1:9" ht="44.25" customHeight="1">
      <c r="A13" s="12" t="s">
        <v>6</v>
      </c>
      <c r="B13" s="158" t="s">
        <v>167</v>
      </c>
      <c r="C13" s="159"/>
      <c r="D13" s="159"/>
      <c r="E13" s="159"/>
      <c r="F13" s="159"/>
      <c r="G13" s="159"/>
      <c r="H13" s="159"/>
      <c r="I13" s="160"/>
    </row>
    <row r="14" spans="1:9" ht="20.25">
      <c r="A14" s="12" t="s">
        <v>7</v>
      </c>
      <c r="B14" s="161">
        <v>37613</v>
      </c>
      <c r="C14" s="157"/>
      <c r="D14" s="157"/>
      <c r="E14" s="157"/>
      <c r="F14" s="157"/>
      <c r="G14" s="157"/>
      <c r="H14" s="157"/>
      <c r="I14" s="157"/>
    </row>
    <row r="15" spans="1:9" ht="20.25">
      <c r="A15" s="12" t="s">
        <v>8</v>
      </c>
      <c r="B15" s="157" t="s">
        <v>168</v>
      </c>
      <c r="C15" s="157"/>
      <c r="D15" s="157"/>
      <c r="E15" s="157"/>
      <c r="F15" s="157"/>
      <c r="G15" s="157"/>
      <c r="H15" s="157"/>
      <c r="I15" s="157"/>
    </row>
    <row r="16" spans="1:9" ht="45.75" customHeight="1">
      <c r="A16" s="12" t="s">
        <v>9</v>
      </c>
      <c r="B16" s="158" t="s">
        <v>167</v>
      </c>
      <c r="C16" s="159"/>
      <c r="D16" s="159"/>
      <c r="E16" s="159"/>
      <c r="F16" s="159"/>
      <c r="G16" s="159"/>
      <c r="H16" s="159"/>
      <c r="I16" s="160"/>
    </row>
    <row r="17" spans="1:9" ht="20.25">
      <c r="A17" s="12" t="s">
        <v>10</v>
      </c>
      <c r="B17" s="157" t="s">
        <v>169</v>
      </c>
      <c r="C17" s="157"/>
      <c r="D17" s="157"/>
      <c r="E17" s="157"/>
      <c r="F17" s="157"/>
      <c r="G17" s="157"/>
      <c r="H17" s="157"/>
      <c r="I17" s="157"/>
    </row>
    <row r="18" spans="1:9" ht="20.25">
      <c r="A18" s="12" t="s">
        <v>11</v>
      </c>
      <c r="B18" s="157"/>
      <c r="C18" s="157"/>
      <c r="D18" s="157"/>
      <c r="E18" s="157"/>
      <c r="F18" s="157"/>
      <c r="G18" s="157"/>
      <c r="H18" s="157"/>
      <c r="I18" s="157"/>
    </row>
    <row r="19" spans="1:9" ht="20.25">
      <c r="A19" s="12" t="s">
        <v>12</v>
      </c>
      <c r="B19" s="165" t="s">
        <v>170</v>
      </c>
      <c r="C19" s="157"/>
      <c r="D19" s="157"/>
      <c r="E19" s="157"/>
      <c r="F19" s="157"/>
      <c r="G19" s="157"/>
      <c r="H19" s="157"/>
      <c r="I19" s="157"/>
    </row>
    <row r="20" spans="1:9" ht="20.25">
      <c r="A20" s="12" t="s">
        <v>13</v>
      </c>
      <c r="B20" s="157" t="s">
        <v>171</v>
      </c>
      <c r="C20" s="157"/>
      <c r="D20" s="157"/>
      <c r="E20" s="157"/>
      <c r="F20" s="157"/>
      <c r="G20" s="157"/>
      <c r="H20" s="157"/>
      <c r="I20" s="157"/>
    </row>
    <row r="21" spans="1:9" ht="20.25">
      <c r="A21" s="12" t="s">
        <v>14</v>
      </c>
      <c r="B21" s="157" t="s">
        <v>172</v>
      </c>
      <c r="C21" s="157"/>
      <c r="D21" s="157"/>
      <c r="E21" s="157"/>
      <c r="F21" s="157"/>
      <c r="G21" s="157"/>
      <c r="H21" s="157"/>
      <c r="I21" s="157"/>
    </row>
    <row r="22" spans="1:9" ht="20.25">
      <c r="A22" s="12" t="s">
        <v>15</v>
      </c>
      <c r="B22" s="166" t="s">
        <v>173</v>
      </c>
      <c r="C22" s="166"/>
      <c r="D22" s="166"/>
      <c r="E22" s="166"/>
      <c r="F22" s="166"/>
      <c r="G22" s="166"/>
      <c r="H22" s="166"/>
      <c r="I22" s="166"/>
    </row>
    <row r="23" spans="1:9" ht="20.25">
      <c r="A23" s="12" t="s">
        <v>16</v>
      </c>
      <c r="B23" s="157" t="s">
        <v>174</v>
      </c>
      <c r="C23" s="157"/>
      <c r="D23" s="157"/>
      <c r="E23" s="157"/>
      <c r="F23" s="157"/>
      <c r="G23" s="157"/>
      <c r="H23" s="157"/>
      <c r="I23" s="157"/>
    </row>
    <row r="24" spans="1:9" ht="35.25" customHeight="1">
      <c r="A24" s="12" t="s">
        <v>17</v>
      </c>
      <c r="B24" s="157" t="s">
        <v>175</v>
      </c>
      <c r="C24" s="157"/>
      <c r="D24" s="157"/>
      <c r="E24" s="157"/>
      <c r="F24" s="157"/>
      <c r="G24" s="157"/>
      <c r="H24" s="157"/>
      <c r="I24" s="157"/>
    </row>
    <row r="25" spans="1:9" ht="20.25">
      <c r="A25" s="12" t="s">
        <v>18</v>
      </c>
      <c r="B25" s="157">
        <v>23292904</v>
      </c>
      <c r="C25" s="157"/>
      <c r="D25" s="157"/>
      <c r="E25" s="157"/>
      <c r="F25" s="157"/>
      <c r="G25" s="157"/>
      <c r="H25" s="157"/>
      <c r="I25" s="157"/>
    </row>
    <row r="26" spans="1:9" ht="24" customHeight="1">
      <c r="A26" s="12" t="s">
        <v>19</v>
      </c>
      <c r="B26" s="157">
        <v>14</v>
      </c>
      <c r="C26" s="157"/>
      <c r="D26" s="157"/>
      <c r="E26" s="157"/>
      <c r="F26" s="157"/>
      <c r="G26" s="157"/>
      <c r="H26" s="157"/>
      <c r="I26" s="157"/>
    </row>
    <row r="27" spans="1:9" ht="20.25" customHeight="1">
      <c r="A27" s="12" t="s">
        <v>20</v>
      </c>
      <c r="B27" s="157">
        <v>9823582501</v>
      </c>
      <c r="C27" s="157"/>
      <c r="D27" s="157"/>
      <c r="E27" s="157"/>
      <c r="F27" s="157"/>
      <c r="G27" s="157"/>
      <c r="H27" s="157"/>
      <c r="I27" s="157"/>
    </row>
    <row r="28" spans="1:9" ht="48" customHeight="1">
      <c r="A28" s="12" t="s">
        <v>21</v>
      </c>
      <c r="B28" s="157">
        <v>72</v>
      </c>
      <c r="C28" s="157"/>
      <c r="D28" s="157"/>
      <c r="E28" s="157"/>
      <c r="F28" s="157"/>
      <c r="G28" s="157"/>
      <c r="H28" s="157"/>
      <c r="I28" s="157"/>
    </row>
    <row r="29" spans="1:9" ht="30" customHeight="1">
      <c r="A29" s="12" t="s">
        <v>22</v>
      </c>
      <c r="B29" s="157">
        <v>49007</v>
      </c>
      <c r="C29" s="157"/>
      <c r="D29" s="157"/>
      <c r="E29" s="157"/>
      <c r="F29" s="157"/>
      <c r="G29" s="157"/>
      <c r="H29" s="157"/>
      <c r="I29" s="157"/>
    </row>
    <row r="30" spans="1:9" ht="63.75" customHeight="1">
      <c r="A30" s="12" t="s">
        <v>23</v>
      </c>
      <c r="B30" s="162" t="s">
        <v>165</v>
      </c>
      <c r="C30" s="163"/>
      <c r="D30" s="163"/>
      <c r="E30" s="163"/>
      <c r="F30" s="163"/>
      <c r="G30" s="163"/>
      <c r="H30" s="163"/>
      <c r="I30" s="164"/>
    </row>
    <row r="31" spans="1:9" ht="26.25" customHeight="1">
      <c r="A31" s="12" t="s">
        <v>24</v>
      </c>
      <c r="B31" s="157"/>
      <c r="C31" s="157"/>
      <c r="D31" s="157"/>
      <c r="E31" s="157"/>
      <c r="F31" s="157"/>
      <c r="G31" s="157"/>
      <c r="H31" s="157"/>
      <c r="I31" s="157"/>
    </row>
    <row r="32" spans="1:9" ht="45.75" customHeight="1">
      <c r="A32" s="12" t="s">
        <v>25</v>
      </c>
      <c r="B32" s="157"/>
      <c r="C32" s="157"/>
      <c r="D32" s="157"/>
      <c r="E32" s="157"/>
      <c r="F32" s="157"/>
      <c r="G32" s="157"/>
      <c r="H32" s="157"/>
      <c r="I32" s="157"/>
    </row>
    <row r="33" spans="1:9" ht="93" customHeight="1">
      <c r="A33" s="12" t="s">
        <v>26</v>
      </c>
      <c r="B33" s="157">
        <v>2013</v>
      </c>
      <c r="C33" s="157"/>
      <c r="D33" s="157"/>
      <c r="E33" s="157"/>
      <c r="F33" s="157"/>
      <c r="G33" s="157"/>
      <c r="H33" s="157"/>
      <c r="I33" s="157"/>
    </row>
    <row r="34" spans="1:9" ht="136.5" customHeight="1">
      <c r="A34" s="12" t="s">
        <v>27</v>
      </c>
      <c r="B34" s="157" t="s">
        <v>280</v>
      </c>
      <c r="C34" s="157"/>
      <c r="D34" s="157"/>
      <c r="E34" s="157"/>
      <c r="F34" s="157"/>
      <c r="G34" s="157"/>
      <c r="H34" s="157"/>
      <c r="I34" s="157"/>
    </row>
    <row r="182" ht="55.5" customHeight="1">
      <c r="A182" s="11"/>
    </row>
    <row r="183" ht="99.75" customHeight="1"/>
    <row r="184" ht="23.25" customHeight="1"/>
    <row r="186" ht="26.25" customHeight="1"/>
    <row r="187" ht="20.25" customHeight="1"/>
  </sheetData>
  <sheetProtection/>
  <mergeCells count="25">
    <mergeCell ref="B19:I19"/>
    <mergeCell ref="B20:I20"/>
    <mergeCell ref="B21:I21"/>
    <mergeCell ref="B22:I22"/>
    <mergeCell ref="B25:I25"/>
    <mergeCell ref="B23:I23"/>
    <mergeCell ref="B30:I30"/>
    <mergeCell ref="B31:I31"/>
    <mergeCell ref="B32:I32"/>
    <mergeCell ref="B33:I33"/>
    <mergeCell ref="B34:I34"/>
    <mergeCell ref="B26:I26"/>
    <mergeCell ref="B28:I28"/>
    <mergeCell ref="B27:I27"/>
    <mergeCell ref="B29:I29"/>
    <mergeCell ref="A2:I2"/>
    <mergeCell ref="A3:H3"/>
    <mergeCell ref="B15:I15"/>
    <mergeCell ref="B16:I16"/>
    <mergeCell ref="B17:I17"/>
    <mergeCell ref="B24:I24"/>
    <mergeCell ref="B18:I18"/>
    <mergeCell ref="B12:I12"/>
    <mergeCell ref="B13:I13"/>
    <mergeCell ref="B14:I14"/>
  </mergeCells>
  <hyperlinks>
    <hyperlink ref="B19" r:id="rId1" display="mdou5keskilnam@yandex.ru"/>
  </hyperlinks>
  <printOptions/>
  <pageMargins left="0.6299212598425197" right="0.2362204724409449" top="0.65" bottom="0.31496062992125984" header="0.31496062992125984" footer="0.31496062992125984"/>
  <pageSetup horizontalDpi="600" verticalDpi="600" orientation="portrait" paperSize="9" scale="60" r:id="rId2"/>
</worksheet>
</file>

<file path=xl/worksheets/sheet2.xml><?xml version="1.0" encoding="utf-8"?>
<worksheet xmlns="http://schemas.openxmlformats.org/spreadsheetml/2006/main" xmlns:r="http://schemas.openxmlformats.org/officeDocument/2006/relationships">
  <dimension ref="A1:G70"/>
  <sheetViews>
    <sheetView zoomScaleSheetLayoutView="100" zoomScalePageLayoutView="0" workbookViewId="0" topLeftCell="A34">
      <selection activeCell="F51" sqref="F51"/>
    </sheetView>
  </sheetViews>
  <sheetFormatPr defaultColWidth="9.00390625" defaultRowHeight="12.75"/>
  <cols>
    <col min="1" max="1" width="6.00390625" style="0" customWidth="1"/>
    <col min="2" max="2" width="8.75390625" style="0" customWidth="1"/>
    <col min="3" max="3" width="27.00390625" style="0" customWidth="1"/>
    <col min="4" max="4" width="35.875" style="0" customWidth="1"/>
    <col min="5" max="5" width="19.00390625" style="0" customWidth="1"/>
    <col min="6" max="6" width="19.25390625" style="0" customWidth="1"/>
    <col min="7" max="7" width="19.875" style="0" customWidth="1"/>
  </cols>
  <sheetData>
    <row r="1" ht="15.75">
      <c r="B1" s="30" t="s">
        <v>218</v>
      </c>
    </row>
    <row r="2" spans="1:7" ht="39" customHeight="1">
      <c r="A2" s="13"/>
      <c r="B2" s="177" t="s">
        <v>227</v>
      </c>
      <c r="C2" s="177"/>
      <c r="D2" s="177"/>
      <c r="E2" s="177"/>
      <c r="F2" s="177"/>
      <c r="G2" s="177"/>
    </row>
    <row r="3" spans="1:7" ht="15.75">
      <c r="A3" s="13"/>
      <c r="B3" s="13"/>
      <c r="C3" s="13"/>
      <c r="D3" s="13"/>
      <c r="E3" s="13"/>
      <c r="F3" s="13"/>
      <c r="G3" s="20"/>
    </row>
    <row r="4" spans="1:7" ht="71.25" customHeight="1">
      <c r="A4" s="13"/>
      <c r="B4" s="177" t="s">
        <v>228</v>
      </c>
      <c r="C4" s="177"/>
      <c r="D4" s="177"/>
      <c r="E4" s="177"/>
      <c r="F4" s="177"/>
      <c r="G4" s="177"/>
    </row>
    <row r="5" spans="1:7" ht="15.75">
      <c r="A5" s="13"/>
      <c r="B5" s="14"/>
      <c r="C5" s="13"/>
      <c r="D5" s="13"/>
      <c r="E5" s="13"/>
      <c r="F5" s="13"/>
      <c r="G5" s="20"/>
    </row>
    <row r="6" spans="1:7" ht="15.75">
      <c r="A6" s="13"/>
      <c r="B6" s="174" t="s">
        <v>229</v>
      </c>
      <c r="C6" s="174"/>
      <c r="D6" s="174"/>
      <c r="E6" s="174"/>
      <c r="F6" s="174"/>
      <c r="G6" s="174"/>
    </row>
    <row r="7" spans="1:7" ht="15.75">
      <c r="A7" s="13"/>
      <c r="B7" s="34"/>
      <c r="C7" s="13"/>
      <c r="D7" s="13"/>
      <c r="E7" s="13"/>
      <c r="F7" s="13"/>
      <c r="G7" s="20"/>
    </row>
    <row r="8" spans="1:7" ht="37.5" customHeight="1">
      <c r="A8" s="14" t="s">
        <v>28</v>
      </c>
      <c r="B8" s="178" t="s">
        <v>29</v>
      </c>
      <c r="C8" s="178"/>
      <c r="D8" s="178"/>
      <c r="E8" s="178"/>
      <c r="F8" s="178"/>
      <c r="G8" s="178"/>
    </row>
    <row r="9" spans="1:7" ht="52.5" customHeight="1">
      <c r="A9" s="13"/>
      <c r="B9" s="175" t="s">
        <v>30</v>
      </c>
      <c r="C9" s="175"/>
      <c r="D9" s="175"/>
      <c r="E9" s="177" t="s">
        <v>180</v>
      </c>
      <c r="F9" s="177"/>
      <c r="G9" s="177"/>
    </row>
    <row r="10" spans="1:7" ht="37.5" customHeight="1">
      <c r="A10" s="13"/>
      <c r="B10" s="175" t="s">
        <v>224</v>
      </c>
      <c r="C10" s="176"/>
      <c r="D10" s="176"/>
      <c r="E10" s="179" t="s">
        <v>175</v>
      </c>
      <c r="F10" s="179"/>
      <c r="G10" s="179"/>
    </row>
    <row r="11" spans="1:7" ht="37.5" customHeight="1">
      <c r="A11" s="13"/>
      <c r="B11" s="175" t="s">
        <v>31</v>
      </c>
      <c r="C11" s="176"/>
      <c r="D11" s="176"/>
      <c r="E11" s="177" t="s">
        <v>206</v>
      </c>
      <c r="F11" s="177"/>
      <c r="G11" s="177"/>
    </row>
    <row r="12" spans="1:7" ht="15.75">
      <c r="A12" s="13"/>
      <c r="B12" s="175" t="s">
        <v>32</v>
      </c>
      <c r="C12" s="176"/>
      <c r="D12" s="176"/>
      <c r="E12" s="177" t="s">
        <v>179</v>
      </c>
      <c r="F12" s="177"/>
      <c r="G12" s="177"/>
    </row>
    <row r="13" spans="1:7" ht="15.75">
      <c r="A13" s="13"/>
      <c r="B13" s="14" t="s">
        <v>219</v>
      </c>
      <c r="C13" s="13"/>
      <c r="D13" s="13"/>
      <c r="E13" s="13"/>
      <c r="F13" s="13"/>
      <c r="G13" s="20"/>
    </row>
    <row r="14" spans="1:7" ht="15.75">
      <c r="A14" s="13"/>
      <c r="B14" s="14"/>
      <c r="C14" s="13"/>
      <c r="D14" s="13"/>
      <c r="E14" s="13"/>
      <c r="F14" s="13"/>
      <c r="G14" s="20"/>
    </row>
    <row r="15" spans="1:7" ht="15.75">
      <c r="A15" s="13"/>
      <c r="B15" s="15" t="s">
        <v>262</v>
      </c>
      <c r="C15" s="15"/>
      <c r="D15" s="15"/>
      <c r="E15" s="15"/>
      <c r="F15" s="15"/>
      <c r="G15" s="15"/>
    </row>
    <row r="16" spans="1:7" ht="34.5" customHeight="1">
      <c r="A16" s="13"/>
      <c r="B16" s="168" t="s">
        <v>147</v>
      </c>
      <c r="C16" s="168"/>
      <c r="D16" s="168"/>
      <c r="E16" s="83">
        <v>1326.907</v>
      </c>
      <c r="F16" s="13"/>
      <c r="G16" s="20"/>
    </row>
    <row r="17" spans="1:7" ht="44.25" customHeight="1">
      <c r="A17" s="13"/>
      <c r="B17" s="168" t="s">
        <v>148</v>
      </c>
      <c r="C17" s="169"/>
      <c r="D17" s="169"/>
      <c r="E17" s="84">
        <f>541.3281+304.261</f>
        <v>845.5890999999999</v>
      </c>
      <c r="F17" s="13"/>
      <c r="G17" s="20"/>
    </row>
    <row r="18" spans="1:7" ht="40.5" customHeight="1">
      <c r="A18" s="13"/>
      <c r="B18" s="168" t="s">
        <v>149</v>
      </c>
      <c r="C18" s="169"/>
      <c r="D18" s="169"/>
      <c r="E18" s="85">
        <v>304.261</v>
      </c>
      <c r="F18" s="13"/>
      <c r="G18" s="20"/>
    </row>
    <row r="19" spans="1:7" ht="33" customHeight="1">
      <c r="A19" s="13"/>
      <c r="B19" s="168" t="s">
        <v>150</v>
      </c>
      <c r="C19" s="169"/>
      <c r="D19" s="169"/>
      <c r="E19" s="85">
        <v>38.132</v>
      </c>
      <c r="F19" s="13"/>
      <c r="G19" s="20"/>
    </row>
    <row r="20" spans="1:7" ht="33" customHeight="1">
      <c r="A20" s="13"/>
      <c r="B20" s="168" t="s">
        <v>151</v>
      </c>
      <c r="C20" s="169"/>
      <c r="D20" s="169"/>
      <c r="E20" s="86">
        <v>845.5891</v>
      </c>
      <c r="F20" s="13"/>
      <c r="G20" s="20"/>
    </row>
    <row r="21" spans="1:7" ht="35.25" customHeight="1">
      <c r="A21" s="13"/>
      <c r="B21" s="168" t="s">
        <v>152</v>
      </c>
      <c r="C21" s="169"/>
      <c r="D21" s="169"/>
      <c r="E21" s="83">
        <v>541.3281</v>
      </c>
      <c r="F21" s="13"/>
      <c r="G21" s="20"/>
    </row>
    <row r="22" spans="1:7" ht="15.75">
      <c r="A22" s="39"/>
      <c r="B22" s="40"/>
      <c r="C22" s="41"/>
      <c r="D22" s="41"/>
      <c r="E22" s="42"/>
      <c r="F22" s="13"/>
      <c r="G22" s="20"/>
    </row>
    <row r="23" spans="1:7" ht="15.75">
      <c r="A23" s="39"/>
      <c r="B23" s="3"/>
      <c r="C23" s="38" t="s">
        <v>189</v>
      </c>
      <c r="D23" s="3"/>
      <c r="E23" s="3"/>
      <c r="F23" s="3"/>
      <c r="G23" s="20"/>
    </row>
    <row r="24" spans="1:6" ht="15.75">
      <c r="A24" s="3"/>
      <c r="B24" s="3"/>
      <c r="C24" s="43"/>
      <c r="D24" s="3"/>
      <c r="E24" s="44" t="s">
        <v>263</v>
      </c>
      <c r="F24" s="45" t="s">
        <v>230</v>
      </c>
    </row>
    <row r="25" spans="1:7" ht="42" customHeight="1">
      <c r="A25" s="3"/>
      <c r="B25" s="52" t="s">
        <v>33</v>
      </c>
      <c r="C25" s="170" t="s">
        <v>34</v>
      </c>
      <c r="D25" s="171"/>
      <c r="E25" s="52" t="s">
        <v>35</v>
      </c>
      <c r="F25" s="52" t="s">
        <v>36</v>
      </c>
      <c r="G25" s="52" t="s">
        <v>37</v>
      </c>
    </row>
    <row r="26" spans="1:7" ht="15.75">
      <c r="A26" s="3"/>
      <c r="B26" s="52">
        <v>1</v>
      </c>
      <c r="C26" s="170">
        <v>2</v>
      </c>
      <c r="D26" s="171"/>
      <c r="E26" s="52">
        <v>3</v>
      </c>
      <c r="F26" s="52">
        <v>4</v>
      </c>
      <c r="G26" s="52">
        <v>5</v>
      </c>
    </row>
    <row r="27" spans="1:7" ht="33.75" customHeight="1">
      <c r="A27" s="3"/>
      <c r="B27" s="22">
        <v>1</v>
      </c>
      <c r="C27" s="172" t="s">
        <v>38</v>
      </c>
      <c r="D27" s="173"/>
      <c r="E27" s="22" t="s">
        <v>39</v>
      </c>
      <c r="F27" s="48">
        <f>SUM(F29:F30)+304.261</f>
        <v>2172.4961</v>
      </c>
      <c r="G27" s="22"/>
    </row>
    <row r="28" spans="1:7" ht="18" customHeight="1">
      <c r="A28" s="3"/>
      <c r="B28" s="22"/>
      <c r="C28" s="172" t="s">
        <v>40</v>
      </c>
      <c r="D28" s="173"/>
      <c r="E28" s="22"/>
      <c r="F28" s="46"/>
      <c r="G28" s="22"/>
    </row>
    <row r="29" spans="1:7" ht="15.75">
      <c r="A29" s="3"/>
      <c r="B29" s="22"/>
      <c r="C29" s="172" t="s">
        <v>41</v>
      </c>
      <c r="D29" s="173"/>
      <c r="E29" s="22" t="s">
        <v>39</v>
      </c>
      <c r="F29" s="46">
        <f>E16</f>
        <v>1326.907</v>
      </c>
      <c r="G29" s="22"/>
    </row>
    <row r="30" spans="1:7" ht="15.75">
      <c r="A30" s="3"/>
      <c r="B30" s="22"/>
      <c r="C30" s="172" t="s">
        <v>42</v>
      </c>
      <c r="D30" s="173"/>
      <c r="E30" s="22" t="s">
        <v>39</v>
      </c>
      <c r="F30" s="46">
        <f>E21</f>
        <v>541.3281</v>
      </c>
      <c r="G30" s="22"/>
    </row>
    <row r="31" spans="1:7" ht="15.75">
      <c r="A31" s="3"/>
      <c r="B31" s="22">
        <v>2</v>
      </c>
      <c r="C31" s="172" t="s">
        <v>43</v>
      </c>
      <c r="D31" s="173"/>
      <c r="E31" s="22" t="s">
        <v>39</v>
      </c>
      <c r="F31" s="46">
        <f>SUM(F33:F34)</f>
        <v>0</v>
      </c>
      <c r="G31" s="22"/>
    </row>
    <row r="32" spans="1:7" ht="15.75">
      <c r="A32" s="3"/>
      <c r="B32" s="22"/>
      <c r="C32" s="172" t="s">
        <v>40</v>
      </c>
      <c r="D32" s="173"/>
      <c r="E32" s="22"/>
      <c r="F32" s="46"/>
      <c r="G32" s="22"/>
    </row>
    <row r="33" spans="1:7" ht="15.75">
      <c r="A33" s="3"/>
      <c r="B33" s="22"/>
      <c r="C33" s="172" t="s">
        <v>44</v>
      </c>
      <c r="D33" s="173"/>
      <c r="E33" s="22" t="s">
        <v>39</v>
      </c>
      <c r="F33" s="46">
        <v>0</v>
      </c>
      <c r="G33" s="22"/>
    </row>
    <row r="34" spans="1:7" ht="20.25" customHeight="1">
      <c r="A34" s="3"/>
      <c r="B34" s="22"/>
      <c r="C34" s="172" t="s">
        <v>45</v>
      </c>
      <c r="D34" s="173"/>
      <c r="E34" s="22" t="s">
        <v>39</v>
      </c>
      <c r="F34" s="46">
        <v>0</v>
      </c>
      <c r="G34" s="22"/>
    </row>
    <row r="35" spans="1:7" ht="37.5" customHeight="1">
      <c r="A35" s="3"/>
      <c r="B35" s="22">
        <v>3</v>
      </c>
      <c r="C35" s="172" t="s">
        <v>46</v>
      </c>
      <c r="D35" s="173"/>
      <c r="E35" s="22" t="s">
        <v>47</v>
      </c>
      <c r="F35" s="49">
        <v>2</v>
      </c>
      <c r="G35" s="22"/>
    </row>
    <row r="36" spans="1:7" ht="18.75">
      <c r="A36" s="2"/>
      <c r="B36" s="22"/>
      <c r="C36" s="172" t="s">
        <v>40</v>
      </c>
      <c r="D36" s="173"/>
      <c r="E36" s="22"/>
      <c r="F36" s="49"/>
      <c r="G36" s="22"/>
    </row>
    <row r="37" spans="1:7" ht="18.75">
      <c r="A37" s="2" t="s">
        <v>154</v>
      </c>
      <c r="B37" s="22"/>
      <c r="C37" s="172" t="s">
        <v>48</v>
      </c>
      <c r="D37" s="173"/>
      <c r="E37" s="22" t="s">
        <v>47</v>
      </c>
      <c r="F37" s="49">
        <v>2</v>
      </c>
      <c r="G37" s="22"/>
    </row>
    <row r="38" spans="1:7" ht="18.75">
      <c r="A38" s="2"/>
      <c r="B38" s="22"/>
      <c r="C38" s="172" t="s">
        <v>49</v>
      </c>
      <c r="D38" s="173"/>
      <c r="E38" s="22" t="s">
        <v>47</v>
      </c>
      <c r="F38" s="46"/>
      <c r="G38" s="22"/>
    </row>
    <row r="39" spans="1:7" ht="18.75">
      <c r="A39" s="2"/>
      <c r="B39" s="22"/>
      <c r="C39" s="172" t="s">
        <v>50</v>
      </c>
      <c r="D39" s="173"/>
      <c r="E39" s="22" t="s">
        <v>47</v>
      </c>
      <c r="F39" s="46"/>
      <c r="G39" s="22"/>
    </row>
    <row r="40" spans="1:7" ht="37.5" customHeight="1">
      <c r="A40" s="2"/>
      <c r="B40" s="22">
        <v>4</v>
      </c>
      <c r="C40" s="172" t="s">
        <v>51</v>
      </c>
      <c r="D40" s="173"/>
      <c r="E40" s="22" t="s">
        <v>52</v>
      </c>
      <c r="F40" s="46">
        <v>430.1</v>
      </c>
      <c r="G40" s="22"/>
    </row>
    <row r="41" spans="1:7" ht="18.75" customHeight="1">
      <c r="A41" s="2"/>
      <c r="B41" s="22"/>
      <c r="C41" s="172" t="s">
        <v>40</v>
      </c>
      <c r="D41" s="173"/>
      <c r="E41" s="22"/>
      <c r="F41" s="46"/>
      <c r="G41" s="22"/>
    </row>
    <row r="42" spans="1:7" ht="18.75">
      <c r="A42" s="2"/>
      <c r="B42" s="22"/>
      <c r="C42" s="167" t="s">
        <v>53</v>
      </c>
      <c r="D42" s="167"/>
      <c r="E42" s="22" t="s">
        <v>52</v>
      </c>
      <c r="F42" s="46"/>
      <c r="G42" s="10"/>
    </row>
    <row r="43" spans="2:7" ht="18.75">
      <c r="B43" s="22"/>
      <c r="C43" s="167" t="s">
        <v>54</v>
      </c>
      <c r="D43" s="167"/>
      <c r="E43" s="22" t="s">
        <v>52</v>
      </c>
      <c r="F43" s="46">
        <v>430.1</v>
      </c>
      <c r="G43" s="10"/>
    </row>
    <row r="44" spans="2:7" ht="18.75">
      <c r="B44" s="22">
        <v>5</v>
      </c>
      <c r="C44" s="167" t="s">
        <v>55</v>
      </c>
      <c r="D44" s="167"/>
      <c r="E44" s="22" t="s">
        <v>39</v>
      </c>
      <c r="F44" s="46">
        <v>271.26775</v>
      </c>
      <c r="G44" s="10"/>
    </row>
    <row r="45" spans="2:7" ht="18.75">
      <c r="B45" s="22"/>
      <c r="C45" s="167" t="s">
        <v>56</v>
      </c>
      <c r="D45" s="167"/>
      <c r="E45" s="22"/>
      <c r="F45" s="46"/>
      <c r="G45" s="10"/>
    </row>
    <row r="46" spans="2:7" ht="18.75">
      <c r="B46" s="22"/>
      <c r="C46" s="167" t="s">
        <v>57</v>
      </c>
      <c r="D46" s="167"/>
      <c r="E46" s="25" t="s">
        <v>39</v>
      </c>
      <c r="F46" s="47"/>
      <c r="G46" s="10"/>
    </row>
    <row r="47" spans="2:7" ht="18.75">
      <c r="B47" s="22"/>
      <c r="C47" s="167" t="s">
        <v>58</v>
      </c>
      <c r="D47" s="167"/>
      <c r="E47" s="25"/>
      <c r="F47" s="46"/>
      <c r="G47" s="10"/>
    </row>
    <row r="48" spans="2:7" ht="18.75">
      <c r="B48" s="22"/>
      <c r="C48" s="167" t="s">
        <v>59</v>
      </c>
      <c r="D48" s="167"/>
      <c r="E48" s="25" t="s">
        <v>39</v>
      </c>
      <c r="F48" s="47">
        <v>271.26775</v>
      </c>
      <c r="G48" s="10"/>
    </row>
    <row r="49" spans="2:7" ht="18.75">
      <c r="B49" s="22"/>
      <c r="C49" s="167" t="s">
        <v>60</v>
      </c>
      <c r="D49" s="167"/>
      <c r="E49" s="25"/>
      <c r="F49" s="46"/>
      <c r="G49" s="10"/>
    </row>
    <row r="50" spans="2:7" ht="18.75">
      <c r="B50" s="22"/>
      <c r="C50" s="167" t="s">
        <v>61</v>
      </c>
      <c r="D50" s="167"/>
      <c r="E50" s="22" t="s">
        <v>39</v>
      </c>
      <c r="F50" s="46">
        <v>21.29432</v>
      </c>
      <c r="G50" s="10"/>
    </row>
    <row r="51" spans="2:7" ht="18.75">
      <c r="B51" s="22"/>
      <c r="C51" s="167" t="s">
        <v>56</v>
      </c>
      <c r="D51" s="167"/>
      <c r="E51" s="22"/>
      <c r="F51" s="46"/>
      <c r="G51" s="10"/>
    </row>
    <row r="52" spans="2:7" ht="18.75">
      <c r="B52" s="22"/>
      <c r="C52" s="167" t="s">
        <v>62</v>
      </c>
      <c r="D52" s="167"/>
      <c r="E52" s="22" t="s">
        <v>39</v>
      </c>
      <c r="F52" s="47"/>
      <c r="G52" s="10"/>
    </row>
    <row r="53" spans="2:7" ht="18.75">
      <c r="B53" s="22"/>
      <c r="C53" s="172"/>
      <c r="D53" s="173"/>
      <c r="E53" s="22"/>
      <c r="F53" s="46"/>
      <c r="G53" s="10"/>
    </row>
    <row r="54" spans="2:7" ht="18.75">
      <c r="B54" s="4"/>
      <c r="C54" s="4"/>
      <c r="D54" s="2"/>
      <c r="E54" s="2"/>
      <c r="F54" s="2"/>
      <c r="G54" s="9"/>
    </row>
    <row r="55" spans="2:6" ht="15.75">
      <c r="B55" s="14"/>
      <c r="C55" s="14"/>
      <c r="D55" s="16"/>
      <c r="E55" s="16"/>
      <c r="F55" s="51"/>
    </row>
    <row r="56" spans="2:6" ht="15.75">
      <c r="B56" s="17"/>
      <c r="C56" s="17"/>
      <c r="D56" s="16"/>
      <c r="E56" s="16"/>
      <c r="F56" s="51"/>
    </row>
    <row r="57" spans="2:6" ht="15.75">
      <c r="B57" s="17"/>
      <c r="C57" s="17"/>
      <c r="D57" s="16"/>
      <c r="E57" s="16"/>
      <c r="F57" s="51"/>
    </row>
    <row r="58" spans="2:6" ht="15.75">
      <c r="B58" s="17"/>
      <c r="C58" s="17"/>
      <c r="D58" s="16"/>
      <c r="E58" s="16"/>
      <c r="F58" s="51"/>
    </row>
    <row r="59" spans="2:6" ht="15.75">
      <c r="B59" s="17"/>
      <c r="C59" s="17"/>
      <c r="D59" s="16"/>
      <c r="E59" s="16"/>
      <c r="F59" s="51"/>
    </row>
    <row r="60" spans="2:6" ht="15.75">
      <c r="B60" s="17"/>
      <c r="C60" s="17"/>
      <c r="D60" s="16"/>
      <c r="E60" s="16"/>
      <c r="F60" s="51"/>
    </row>
    <row r="61" spans="2:6" ht="15.75">
      <c r="B61" s="17"/>
      <c r="C61" s="17"/>
      <c r="D61" s="16"/>
      <c r="E61" s="16"/>
      <c r="F61" s="51"/>
    </row>
    <row r="62" spans="2:6" ht="15.75">
      <c r="B62" s="17"/>
      <c r="C62" s="17"/>
      <c r="D62" s="16"/>
      <c r="E62" s="16"/>
      <c r="F62" s="51"/>
    </row>
    <row r="63" spans="2:6" ht="15.75">
      <c r="B63" s="17"/>
      <c r="C63" s="17"/>
      <c r="D63" s="16"/>
      <c r="E63" s="16"/>
      <c r="F63" s="51"/>
    </row>
    <row r="64" spans="2:6" ht="15.75">
      <c r="B64" s="17"/>
      <c r="C64" s="17"/>
      <c r="D64" s="16"/>
      <c r="E64" s="16"/>
      <c r="F64" s="51"/>
    </row>
    <row r="65" spans="2:6" ht="15.75">
      <c r="B65" s="17"/>
      <c r="C65" s="17"/>
      <c r="D65" s="16"/>
      <c r="E65" s="16"/>
      <c r="F65" s="51"/>
    </row>
    <row r="66" spans="2:6" ht="15.75">
      <c r="B66" s="17"/>
      <c r="C66" s="17"/>
      <c r="D66" s="16"/>
      <c r="E66" s="16"/>
      <c r="F66" s="51"/>
    </row>
    <row r="67" spans="2:6" ht="15.75">
      <c r="B67" s="17"/>
      <c r="C67" s="17"/>
      <c r="D67" s="16"/>
      <c r="E67" s="16"/>
      <c r="F67" s="51"/>
    </row>
    <row r="68" spans="2:6" ht="15.75">
      <c r="B68" s="17"/>
      <c r="C68" s="17"/>
      <c r="D68" s="16"/>
      <c r="E68" s="16"/>
      <c r="F68" s="51"/>
    </row>
    <row r="69" spans="2:6" ht="15.75">
      <c r="B69" s="17"/>
      <c r="C69" s="17"/>
      <c r="D69" s="16"/>
      <c r="E69" s="16"/>
      <c r="F69" s="51"/>
    </row>
    <row r="70" spans="2:6" ht="15.75">
      <c r="B70" s="17"/>
      <c r="C70" s="17"/>
      <c r="D70" s="16"/>
      <c r="E70" s="16"/>
      <c r="F70" s="51"/>
    </row>
  </sheetData>
  <sheetProtection/>
  <mergeCells count="47">
    <mergeCell ref="C38:D38"/>
    <mergeCell ref="C39:D39"/>
    <mergeCell ref="C40:D40"/>
    <mergeCell ref="C41:D41"/>
    <mergeCell ref="B2:G2"/>
    <mergeCell ref="B4:G4"/>
    <mergeCell ref="B8:G8"/>
    <mergeCell ref="E9:G9"/>
    <mergeCell ref="E10:G10"/>
    <mergeCell ref="B20:D20"/>
    <mergeCell ref="C44:D44"/>
    <mergeCell ref="B11:D11"/>
    <mergeCell ref="B12:D12"/>
    <mergeCell ref="E11:G11"/>
    <mergeCell ref="B16:D16"/>
    <mergeCell ref="B17:D17"/>
    <mergeCell ref="B18:D18"/>
    <mergeCell ref="C33:D33"/>
    <mergeCell ref="C34:D34"/>
    <mergeCell ref="E12:G12"/>
    <mergeCell ref="B21:D21"/>
    <mergeCell ref="C30:D30"/>
    <mergeCell ref="C32:D32"/>
    <mergeCell ref="C35:D35"/>
    <mergeCell ref="B6:G6"/>
    <mergeCell ref="B9:D9"/>
    <mergeCell ref="B10:D10"/>
    <mergeCell ref="C53:D53"/>
    <mergeCell ref="C46:D46"/>
    <mergeCell ref="C29:D29"/>
    <mergeCell ref="C36:D36"/>
    <mergeCell ref="C37:D37"/>
    <mergeCell ref="C49:D49"/>
    <mergeCell ref="C50:D50"/>
    <mergeCell ref="C31:D31"/>
    <mergeCell ref="C45:D45"/>
    <mergeCell ref="C43:D43"/>
    <mergeCell ref="C47:D47"/>
    <mergeCell ref="C48:D48"/>
    <mergeCell ref="C42:D42"/>
    <mergeCell ref="B19:D19"/>
    <mergeCell ref="C51:D51"/>
    <mergeCell ref="C52:D52"/>
    <mergeCell ref="C25:D25"/>
    <mergeCell ref="C26:D26"/>
    <mergeCell ref="C27:D27"/>
    <mergeCell ref="C28:D28"/>
  </mergeCells>
  <printOptions/>
  <pageMargins left="0.75" right="0.3" top="0.52" bottom="0.51" header="0.31" footer="0.5"/>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dimension ref="A1:F12"/>
  <sheetViews>
    <sheetView zoomScalePageLayoutView="0" workbookViewId="0" topLeftCell="A1">
      <selection activeCell="B10" sqref="B10:E10"/>
    </sheetView>
  </sheetViews>
  <sheetFormatPr defaultColWidth="9.00390625" defaultRowHeight="12.75"/>
  <cols>
    <col min="1" max="1" width="4.125" style="17" customWidth="1"/>
    <col min="2" max="2" width="24.375" style="17" customWidth="1"/>
    <col min="4" max="4" width="27.75390625" style="0" customWidth="1"/>
    <col min="5" max="5" width="28.375" style="0" customWidth="1"/>
    <col min="6" max="6" width="23.00390625" style="0" customWidth="1"/>
  </cols>
  <sheetData>
    <row r="1" spans="1:6" ht="15.75">
      <c r="A1" s="13"/>
      <c r="B1" s="15" t="s">
        <v>231</v>
      </c>
      <c r="C1" s="15"/>
      <c r="D1" s="15"/>
      <c r="E1" s="15"/>
      <c r="F1" s="15"/>
    </row>
    <row r="2" spans="1:6" ht="15.75">
      <c r="A2" s="13" t="s">
        <v>104</v>
      </c>
      <c r="B2" s="181" t="s">
        <v>232</v>
      </c>
      <c r="C2" s="181"/>
      <c r="D2" s="37" t="s">
        <v>153</v>
      </c>
      <c r="E2" s="13"/>
      <c r="F2" s="13"/>
    </row>
    <row r="3" spans="1:6" ht="15.75">
      <c r="A3" s="13"/>
      <c r="B3" s="181" t="s">
        <v>233</v>
      </c>
      <c r="C3" s="181"/>
      <c r="D3" s="13" t="s">
        <v>171</v>
      </c>
      <c r="E3" s="13"/>
      <c r="F3" s="13"/>
    </row>
    <row r="4" spans="1:6" ht="15.75">
      <c r="A4" s="18" t="s">
        <v>63</v>
      </c>
      <c r="B4" s="50"/>
      <c r="C4" s="50"/>
      <c r="D4" s="13"/>
      <c r="E4" s="13"/>
      <c r="F4" s="13"/>
    </row>
    <row r="5" spans="1:5" ht="189">
      <c r="A5" s="14"/>
      <c r="B5" s="53" t="s">
        <v>190</v>
      </c>
      <c r="C5" s="182" t="s">
        <v>211</v>
      </c>
      <c r="D5" s="182"/>
      <c r="E5" s="51" t="s">
        <v>188</v>
      </c>
    </row>
    <row r="6" spans="1:2" ht="15.75">
      <c r="A6" s="13"/>
      <c r="B6" s="14"/>
    </row>
    <row r="7" spans="1:2" ht="15.75">
      <c r="A7" s="18" t="s">
        <v>156</v>
      </c>
      <c r="B7" s="15" t="s">
        <v>155</v>
      </c>
    </row>
    <row r="8" spans="2:5" ht="302.25" customHeight="1">
      <c r="B8" s="182" t="s">
        <v>210</v>
      </c>
      <c r="C8" s="182"/>
      <c r="D8" s="182"/>
      <c r="E8" s="182"/>
    </row>
    <row r="9" spans="2:5" ht="222.75" customHeight="1">
      <c r="B9" s="178" t="s">
        <v>264</v>
      </c>
      <c r="C9" s="178"/>
      <c r="D9" s="178"/>
      <c r="E9" s="178"/>
    </row>
    <row r="10" spans="2:5" ht="196.5" customHeight="1">
      <c r="B10" s="180" t="s">
        <v>265</v>
      </c>
      <c r="C10" s="180"/>
      <c r="D10" s="180"/>
      <c r="E10" s="180"/>
    </row>
    <row r="11" spans="2:5" ht="112.5" customHeight="1">
      <c r="B11" s="177" t="s">
        <v>266</v>
      </c>
      <c r="C11" s="177"/>
      <c r="D11" s="177"/>
      <c r="E11" s="177"/>
    </row>
    <row r="12" spans="2:5" ht="183.75" customHeight="1">
      <c r="B12" s="177" t="s">
        <v>234</v>
      </c>
      <c r="C12" s="177"/>
      <c r="D12" s="177"/>
      <c r="E12" s="177"/>
    </row>
  </sheetData>
  <sheetProtection/>
  <mergeCells count="8">
    <mergeCell ref="B10:E10"/>
    <mergeCell ref="B11:E11"/>
    <mergeCell ref="B12:E12"/>
    <mergeCell ref="B2:C2"/>
    <mergeCell ref="B3:C3"/>
    <mergeCell ref="C5:D5"/>
    <mergeCell ref="B8:E8"/>
    <mergeCell ref="B9:E9"/>
  </mergeCells>
  <printOptions/>
  <pageMargins left="0.7086614173228347" right="0.3937007874015748" top="0.55" bottom="0.2755905511811024" header="0.38"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1">
      <selection activeCell="A14" sqref="A14:I14"/>
    </sheetView>
  </sheetViews>
  <sheetFormatPr defaultColWidth="9.00390625" defaultRowHeight="12.75"/>
  <cols>
    <col min="1" max="1" width="54.75390625" style="17" customWidth="1"/>
    <col min="2" max="2" width="16.75390625" style="17" customWidth="1"/>
    <col min="3" max="3" width="19.00390625" style="17" customWidth="1"/>
    <col min="4" max="4" width="14.125" style="17" customWidth="1"/>
    <col min="5" max="5" width="12.875" style="17" customWidth="1"/>
    <col min="6" max="6" width="6.375" style="17" customWidth="1"/>
    <col min="7" max="8" width="12.00390625" style="17" customWidth="1"/>
    <col min="9" max="9" width="9.125" style="17" customWidth="1"/>
  </cols>
  <sheetData>
    <row r="1" spans="1:9" ht="15.75">
      <c r="A1" s="13"/>
      <c r="B1" s="13"/>
      <c r="C1" s="13"/>
      <c r="D1" s="13"/>
      <c r="E1" s="13"/>
      <c r="F1" s="20"/>
      <c r="G1" s="13"/>
      <c r="H1" s="13"/>
      <c r="I1" s="21" t="s">
        <v>65</v>
      </c>
    </row>
    <row r="2" spans="1:9" ht="15.75">
      <c r="A2" s="167" t="s">
        <v>66</v>
      </c>
      <c r="B2" s="167" t="s">
        <v>177</v>
      </c>
      <c r="C2" s="167"/>
      <c r="D2" s="167" t="s">
        <v>68</v>
      </c>
      <c r="E2" s="167"/>
      <c r="F2" s="167"/>
      <c r="G2" s="167"/>
      <c r="H2" s="167"/>
      <c r="I2" s="167"/>
    </row>
    <row r="3" spans="1:9" ht="15.75">
      <c r="A3" s="167"/>
      <c r="B3" s="167" t="s">
        <v>67</v>
      </c>
      <c r="C3" s="167"/>
      <c r="D3" s="167" t="s">
        <v>178</v>
      </c>
      <c r="E3" s="167"/>
      <c r="F3" s="167"/>
      <c r="G3" s="167" t="s">
        <v>69</v>
      </c>
      <c r="H3" s="167" t="s">
        <v>178</v>
      </c>
      <c r="I3" s="167" t="s">
        <v>69</v>
      </c>
    </row>
    <row r="4" spans="1:9" ht="31.5">
      <c r="A4" s="167"/>
      <c r="B4" s="22" t="s">
        <v>72</v>
      </c>
      <c r="C4" s="22" t="s">
        <v>73</v>
      </c>
      <c r="D4" s="22" t="s">
        <v>249</v>
      </c>
      <c r="E4" s="167" t="s">
        <v>250</v>
      </c>
      <c r="F4" s="167"/>
      <c r="G4" s="167"/>
      <c r="H4" s="167"/>
      <c r="I4" s="167"/>
    </row>
    <row r="5" spans="1:9" ht="15.75">
      <c r="A5" s="22">
        <v>1</v>
      </c>
      <c r="B5" s="22">
        <v>2</v>
      </c>
      <c r="C5" s="22">
        <v>3</v>
      </c>
      <c r="D5" s="167">
        <v>4</v>
      </c>
      <c r="E5" s="167"/>
      <c r="F5" s="167"/>
      <c r="G5" s="22">
        <v>5</v>
      </c>
      <c r="H5" s="22">
        <v>6</v>
      </c>
      <c r="I5" s="22">
        <v>7</v>
      </c>
    </row>
    <row r="6" spans="1:9" ht="31.5">
      <c r="A6" s="23" t="s">
        <v>74</v>
      </c>
      <c r="B6" s="24"/>
      <c r="C6" s="24"/>
      <c r="D6" s="24"/>
      <c r="E6" s="188"/>
      <c r="F6" s="188"/>
      <c r="G6" s="24"/>
      <c r="H6" s="24"/>
      <c r="I6" s="24"/>
    </row>
    <row r="7" spans="1:9" ht="52.5" customHeight="1">
      <c r="A7" s="23" t="s">
        <v>225</v>
      </c>
      <c r="B7" s="24">
        <v>7085</v>
      </c>
      <c r="C7" s="24">
        <v>9258</v>
      </c>
      <c r="D7" s="24">
        <v>9258</v>
      </c>
      <c r="E7" s="188">
        <v>9000</v>
      </c>
      <c r="F7" s="188"/>
      <c r="G7" s="24"/>
      <c r="H7" s="24"/>
      <c r="I7" s="24"/>
    </row>
    <row r="8" spans="1:9" ht="15.75">
      <c r="A8" s="23"/>
      <c r="B8" s="24"/>
      <c r="C8" s="24"/>
      <c r="D8" s="24"/>
      <c r="E8" s="188"/>
      <c r="F8" s="188"/>
      <c r="G8" s="24"/>
      <c r="H8" s="24"/>
      <c r="I8" s="24"/>
    </row>
    <row r="9" spans="1:9" ht="15.75">
      <c r="A9" s="188"/>
      <c r="B9" s="188"/>
      <c r="C9" s="188"/>
      <c r="D9" s="188"/>
      <c r="E9" s="188"/>
      <c r="F9" s="188"/>
      <c r="G9" s="188"/>
      <c r="H9" s="188"/>
      <c r="I9" s="188"/>
    </row>
    <row r="10" spans="1:9" ht="15.75">
      <c r="A10" s="188" t="s">
        <v>75</v>
      </c>
      <c r="B10" s="188"/>
      <c r="C10" s="188"/>
      <c r="D10" s="188"/>
      <c r="E10" s="188"/>
      <c r="F10" s="188"/>
      <c r="G10" s="188"/>
      <c r="H10" s="188"/>
      <c r="I10" s="188"/>
    </row>
    <row r="11" spans="1:9" ht="31.5">
      <c r="A11" s="25" t="s">
        <v>76</v>
      </c>
      <c r="B11" s="24">
        <v>2</v>
      </c>
      <c r="C11" s="24">
        <v>2</v>
      </c>
      <c r="D11" s="188">
        <v>2</v>
      </c>
      <c r="E11" s="188"/>
      <c r="F11" s="188"/>
      <c r="G11" s="24"/>
      <c r="H11" s="24"/>
      <c r="I11" s="24"/>
    </row>
    <row r="12" spans="1:9" ht="15.75">
      <c r="A12" s="25" t="s">
        <v>77</v>
      </c>
      <c r="B12" s="24">
        <v>15</v>
      </c>
      <c r="C12" s="24">
        <v>15</v>
      </c>
      <c r="D12" s="188">
        <v>15</v>
      </c>
      <c r="E12" s="188"/>
      <c r="F12" s="188"/>
      <c r="G12" s="24"/>
      <c r="H12" s="24"/>
      <c r="I12" s="24"/>
    </row>
    <row r="13" spans="1:9" ht="15.75">
      <c r="A13" s="25" t="s">
        <v>78</v>
      </c>
      <c r="B13" s="24">
        <v>10</v>
      </c>
      <c r="C13" s="24">
        <v>10</v>
      </c>
      <c r="D13" s="188">
        <v>10</v>
      </c>
      <c r="E13" s="188"/>
      <c r="F13" s="188"/>
      <c r="G13" s="24"/>
      <c r="H13" s="24"/>
      <c r="I13" s="24"/>
    </row>
    <row r="14" spans="1:9" ht="15.75">
      <c r="A14" s="188" t="s">
        <v>79</v>
      </c>
      <c r="B14" s="188"/>
      <c r="C14" s="188"/>
      <c r="D14" s="188"/>
      <c r="E14" s="188"/>
      <c r="F14" s="188"/>
      <c r="G14" s="188"/>
      <c r="H14" s="188"/>
      <c r="I14" s="188"/>
    </row>
    <row r="15" spans="1:9" ht="15.75">
      <c r="A15" s="23"/>
      <c r="B15" s="188" t="s">
        <v>39</v>
      </c>
      <c r="C15" s="188"/>
      <c r="D15" s="192"/>
      <c r="E15" s="192"/>
      <c r="F15" s="192"/>
      <c r="G15" s="23"/>
      <c r="H15" s="23"/>
      <c r="I15" s="23"/>
    </row>
    <row r="16" spans="1:9" ht="15.75">
      <c r="A16" s="23" t="s">
        <v>213</v>
      </c>
      <c r="B16" s="189">
        <f>B17+B20+B22</f>
        <v>7830.209</v>
      </c>
      <c r="C16" s="190"/>
      <c r="D16" s="189">
        <f>D17+D20+D22</f>
        <v>7863.809</v>
      </c>
      <c r="E16" s="191"/>
      <c r="F16" s="190"/>
      <c r="G16" s="23"/>
      <c r="H16" s="23"/>
      <c r="I16" s="23"/>
    </row>
    <row r="17" spans="1:9" ht="15.75">
      <c r="A17" s="25" t="s">
        <v>81</v>
      </c>
      <c r="B17" s="193">
        <f>7820209/1000</f>
        <v>7820.209</v>
      </c>
      <c r="C17" s="193"/>
      <c r="D17" s="193">
        <f>7820209/1000</f>
        <v>7820.209</v>
      </c>
      <c r="E17" s="193"/>
      <c r="F17" s="193"/>
      <c r="G17" s="24"/>
      <c r="H17" s="24"/>
      <c r="I17" s="24"/>
    </row>
    <row r="18" spans="1:9" ht="15.75">
      <c r="A18" s="25" t="s">
        <v>82</v>
      </c>
      <c r="B18" s="193">
        <f>B17/C7</f>
        <v>0.844697450853316</v>
      </c>
      <c r="C18" s="193"/>
      <c r="D18" s="193">
        <f>D17/E7</f>
        <v>0.8689121111111111</v>
      </c>
      <c r="E18" s="193"/>
      <c r="F18" s="193"/>
      <c r="G18" s="24"/>
      <c r="H18" s="24"/>
      <c r="I18" s="24"/>
    </row>
    <row r="19" spans="1:9" ht="15.75">
      <c r="A19" s="25" t="s">
        <v>83</v>
      </c>
      <c r="B19" s="193"/>
      <c r="C19" s="193"/>
      <c r="D19" s="193"/>
      <c r="E19" s="193"/>
      <c r="F19" s="193"/>
      <c r="G19" s="24"/>
      <c r="H19" s="24"/>
      <c r="I19" s="23"/>
    </row>
    <row r="20" spans="1:9" ht="15.75">
      <c r="A20" s="25" t="s">
        <v>84</v>
      </c>
      <c r="B20" s="193"/>
      <c r="C20" s="193"/>
      <c r="D20" s="193">
        <f>33600/1000</f>
        <v>33.6</v>
      </c>
      <c r="E20" s="193"/>
      <c r="F20" s="193"/>
      <c r="G20" s="24"/>
      <c r="H20" s="24"/>
      <c r="I20" s="23"/>
    </row>
    <row r="21" spans="1:9" ht="31.5">
      <c r="A21" s="25" t="s">
        <v>85</v>
      </c>
      <c r="B21" s="193">
        <f>B20/C7</f>
        <v>0</v>
      </c>
      <c r="C21" s="193"/>
      <c r="D21" s="193">
        <v>41</v>
      </c>
      <c r="E21" s="193"/>
      <c r="F21" s="193"/>
      <c r="G21" s="24"/>
      <c r="H21" s="24"/>
      <c r="I21" s="23"/>
    </row>
    <row r="22" spans="1:9" ht="31.5">
      <c r="A22" s="25" t="s">
        <v>86</v>
      </c>
      <c r="B22" s="193">
        <f>10000/1000</f>
        <v>10</v>
      </c>
      <c r="C22" s="193"/>
      <c r="D22" s="193">
        <f>10000/1000</f>
        <v>10</v>
      </c>
      <c r="E22" s="193"/>
      <c r="F22" s="193"/>
      <c r="G22" s="24"/>
      <c r="H22" s="24"/>
      <c r="I22" s="23"/>
    </row>
    <row r="23" spans="1:9" ht="15.75">
      <c r="A23" s="188" t="s">
        <v>87</v>
      </c>
      <c r="B23" s="188"/>
      <c r="C23" s="188"/>
      <c r="D23" s="188"/>
      <c r="E23" s="188"/>
      <c r="F23" s="188"/>
      <c r="G23" s="188"/>
      <c r="H23" s="188"/>
      <c r="I23" s="188"/>
    </row>
    <row r="24" spans="1:9" ht="25.5" customHeight="1">
      <c r="A24" s="25" t="s">
        <v>88</v>
      </c>
      <c r="B24" s="194">
        <f>216.442*1000</f>
        <v>216442</v>
      </c>
      <c r="C24" s="194"/>
      <c r="D24" s="194">
        <f>свод!J80/27</f>
        <v>185.73703703703703</v>
      </c>
      <c r="E24" s="194"/>
      <c r="F24" s="194"/>
      <c r="G24" s="23"/>
      <c r="H24" s="23"/>
      <c r="I24" s="23"/>
    </row>
    <row r="25" spans="1:9" ht="31.5">
      <c r="A25" s="25" t="s">
        <v>89</v>
      </c>
      <c r="B25" s="195">
        <v>0.78</v>
      </c>
      <c r="C25" s="195"/>
      <c r="D25" s="195">
        <f>свод!J79/'табл 2 и 3'!D16:F16</f>
        <v>0.8335666545309022</v>
      </c>
      <c r="E25" s="195"/>
      <c r="F25" s="195"/>
      <c r="G25" s="27"/>
      <c r="H25" s="27"/>
      <c r="I25" s="27"/>
    </row>
    <row r="26" spans="1:9" ht="15.75">
      <c r="A26" s="188" t="s">
        <v>90</v>
      </c>
      <c r="B26" s="188"/>
      <c r="C26" s="188"/>
      <c r="D26" s="188"/>
      <c r="E26" s="188"/>
      <c r="F26" s="188"/>
      <c r="G26" s="188"/>
      <c r="H26" s="188"/>
      <c r="I26" s="188"/>
    </row>
    <row r="27" spans="1:9" ht="15.75">
      <c r="A27" s="25" t="s">
        <v>91</v>
      </c>
      <c r="B27" s="192"/>
      <c r="C27" s="192"/>
      <c r="D27" s="192"/>
      <c r="E27" s="192"/>
      <c r="F27" s="192"/>
      <c r="G27" s="192"/>
      <c r="H27" s="192"/>
      <c r="I27" s="192"/>
    </row>
    <row r="28" spans="1:9" ht="31.5">
      <c r="A28" s="25" t="s">
        <v>92</v>
      </c>
      <c r="B28" s="192"/>
      <c r="C28" s="192"/>
      <c r="D28" s="192"/>
      <c r="E28" s="192"/>
      <c r="F28" s="192"/>
      <c r="G28" s="192"/>
      <c r="H28" s="23"/>
      <c r="I28" s="23"/>
    </row>
    <row r="29" spans="1:9" ht="15.75">
      <c r="A29" s="188" t="s">
        <v>93</v>
      </c>
      <c r="B29" s="196"/>
      <c r="C29" s="196"/>
      <c r="D29" s="196"/>
      <c r="E29" s="196"/>
      <c r="F29" s="196"/>
      <c r="G29" s="196"/>
      <c r="H29" s="196"/>
      <c r="I29" s="196"/>
    </row>
    <row r="30" spans="1:9" ht="31.5">
      <c r="A30" s="28" t="s">
        <v>94</v>
      </c>
      <c r="B30" s="197" t="s">
        <v>192</v>
      </c>
      <c r="C30" s="198"/>
      <c r="D30" s="197" t="s">
        <v>193</v>
      </c>
      <c r="E30" s="198"/>
      <c r="F30" s="199" t="s">
        <v>194</v>
      </c>
      <c r="G30" s="200"/>
      <c r="H30" s="197" t="s">
        <v>195</v>
      </c>
      <c r="I30" s="198"/>
    </row>
    <row r="31" spans="1:9" ht="279.75" customHeight="1">
      <c r="A31" s="29" t="s">
        <v>207</v>
      </c>
      <c r="B31" s="170" t="s">
        <v>199</v>
      </c>
      <c r="C31" s="171"/>
      <c r="D31" s="201" t="s">
        <v>196</v>
      </c>
      <c r="E31" s="202"/>
      <c r="F31" s="170" t="s">
        <v>197</v>
      </c>
      <c r="G31" s="171"/>
      <c r="H31" s="170" t="s">
        <v>198</v>
      </c>
      <c r="I31" s="171"/>
    </row>
    <row r="32" spans="1:9" ht="74.25" customHeight="1">
      <c r="A32" s="29" t="s">
        <v>208</v>
      </c>
      <c r="B32" s="170" t="s">
        <v>200</v>
      </c>
      <c r="C32" s="171"/>
      <c r="D32" s="170" t="s">
        <v>201</v>
      </c>
      <c r="E32" s="171"/>
      <c r="F32" s="170" t="s">
        <v>197</v>
      </c>
      <c r="G32" s="171"/>
      <c r="H32" s="170" t="s">
        <v>202</v>
      </c>
      <c r="I32" s="171"/>
    </row>
    <row r="33" spans="1:9" ht="106.5" customHeight="1">
      <c r="A33" s="29" t="s">
        <v>209</v>
      </c>
      <c r="B33" s="170" t="s">
        <v>199</v>
      </c>
      <c r="C33" s="171"/>
      <c r="D33" s="170" t="s">
        <v>204</v>
      </c>
      <c r="E33" s="171"/>
      <c r="F33" s="170" t="s">
        <v>203</v>
      </c>
      <c r="G33" s="171"/>
      <c r="H33" s="170" t="s">
        <v>205</v>
      </c>
      <c r="I33" s="171"/>
    </row>
    <row r="35" spans="1:5" ht="15.75">
      <c r="A35" s="30" t="s">
        <v>226</v>
      </c>
      <c r="B35" s="31" t="s">
        <v>95</v>
      </c>
      <c r="C35" s="31"/>
      <c r="D35" s="13"/>
      <c r="E35" s="13"/>
    </row>
    <row r="36" spans="1:5" ht="15.75">
      <c r="A36" s="13" t="s">
        <v>96</v>
      </c>
      <c r="B36" s="13" t="s">
        <v>97</v>
      </c>
      <c r="C36" s="13"/>
      <c r="D36" s="13"/>
      <c r="E36" s="13"/>
    </row>
    <row r="37" spans="1:5" ht="15.75">
      <c r="A37" s="13"/>
      <c r="B37" s="13"/>
      <c r="C37" s="13"/>
      <c r="D37" s="13"/>
      <c r="E37" s="21" t="s">
        <v>220</v>
      </c>
    </row>
    <row r="38" spans="1:9" ht="28.5">
      <c r="A38" s="32" t="s">
        <v>98</v>
      </c>
      <c r="B38" s="183" t="s">
        <v>99</v>
      </c>
      <c r="C38" s="184"/>
      <c r="D38" s="187" t="s">
        <v>100</v>
      </c>
      <c r="E38" s="187"/>
      <c r="F38" s="187"/>
      <c r="G38" s="19" t="s">
        <v>101</v>
      </c>
      <c r="H38" s="187" t="s">
        <v>102</v>
      </c>
      <c r="I38" s="187"/>
    </row>
    <row r="39" spans="1:9" ht="47.25">
      <c r="A39" s="32" t="s">
        <v>103</v>
      </c>
      <c r="B39" s="185" t="s">
        <v>273</v>
      </c>
      <c r="C39" s="186"/>
      <c r="D39" s="167" t="s">
        <v>274</v>
      </c>
      <c r="E39" s="167"/>
      <c r="F39" s="167"/>
      <c r="G39" s="32" t="s">
        <v>275</v>
      </c>
      <c r="H39" s="167" t="s">
        <v>276</v>
      </c>
      <c r="I39" s="167"/>
    </row>
  </sheetData>
  <sheetProtection/>
  <mergeCells count="71">
    <mergeCell ref="B32:C32"/>
    <mergeCell ref="D32:E32"/>
    <mergeCell ref="F32:G32"/>
    <mergeCell ref="H32:I32"/>
    <mergeCell ref="B33:C33"/>
    <mergeCell ref="D33:E33"/>
    <mergeCell ref="F33:G33"/>
    <mergeCell ref="H33:I33"/>
    <mergeCell ref="A29:I29"/>
    <mergeCell ref="B30:C30"/>
    <mergeCell ref="D30:E30"/>
    <mergeCell ref="F30:G30"/>
    <mergeCell ref="H30:I30"/>
    <mergeCell ref="B31:C31"/>
    <mergeCell ref="D31:E31"/>
    <mergeCell ref="F31:G31"/>
    <mergeCell ref="H31:I31"/>
    <mergeCell ref="B27:C27"/>
    <mergeCell ref="D27:E27"/>
    <mergeCell ref="F27:G27"/>
    <mergeCell ref="H27:I27"/>
    <mergeCell ref="B28:C28"/>
    <mergeCell ref="D28:E28"/>
    <mergeCell ref="F28:G28"/>
    <mergeCell ref="A23:I23"/>
    <mergeCell ref="B24:C24"/>
    <mergeCell ref="D24:F24"/>
    <mergeCell ref="B25:C25"/>
    <mergeCell ref="D25:F25"/>
    <mergeCell ref="A26:I26"/>
    <mergeCell ref="B20:C20"/>
    <mergeCell ref="D20:F20"/>
    <mergeCell ref="B21:C21"/>
    <mergeCell ref="D21:F21"/>
    <mergeCell ref="B22:C22"/>
    <mergeCell ref="D22:F22"/>
    <mergeCell ref="B17:C17"/>
    <mergeCell ref="D17:F17"/>
    <mergeCell ref="B18:C18"/>
    <mergeCell ref="D18:F18"/>
    <mergeCell ref="B19:C19"/>
    <mergeCell ref="D19:F19"/>
    <mergeCell ref="B16:C16"/>
    <mergeCell ref="D16:F16"/>
    <mergeCell ref="D11:F11"/>
    <mergeCell ref="D12:F12"/>
    <mergeCell ref="D13:F13"/>
    <mergeCell ref="A14:I14"/>
    <mergeCell ref="B15:C15"/>
    <mergeCell ref="D15:F15"/>
    <mergeCell ref="D5:F5"/>
    <mergeCell ref="E6:F6"/>
    <mergeCell ref="E7:F7"/>
    <mergeCell ref="E8:F8"/>
    <mergeCell ref="A9:I9"/>
    <mergeCell ref="A10:I10"/>
    <mergeCell ref="A2:A4"/>
    <mergeCell ref="B2:C2"/>
    <mergeCell ref="D2:I2"/>
    <mergeCell ref="B3:C3"/>
    <mergeCell ref="D3:F3"/>
    <mergeCell ref="G3:G4"/>
    <mergeCell ref="H3:H4"/>
    <mergeCell ref="I3:I4"/>
    <mergeCell ref="E4:F4"/>
    <mergeCell ref="B38:C38"/>
    <mergeCell ref="B39:C39"/>
    <mergeCell ref="D38:F38"/>
    <mergeCell ref="D39:F39"/>
    <mergeCell ref="H38:I38"/>
    <mergeCell ref="H39:I39"/>
  </mergeCells>
  <printOptions/>
  <pageMargins left="0.7" right="0.17" top="0.75" bottom="0.32" header="0.3" footer="0.3"/>
  <pageSetup horizontalDpi="600" verticalDpi="600" orientation="portrait" paperSize="9" scale="57" r:id="rId3"/>
  <legacyDrawing r:id="rId2"/>
</worksheet>
</file>

<file path=xl/worksheets/sheet5.xml><?xml version="1.0" encoding="utf-8"?>
<worksheet xmlns="http://schemas.openxmlformats.org/spreadsheetml/2006/main" xmlns:r="http://schemas.openxmlformats.org/officeDocument/2006/relationships">
  <dimension ref="A1:O156"/>
  <sheetViews>
    <sheetView zoomScalePageLayoutView="0" workbookViewId="0" topLeftCell="A114">
      <selection activeCell="H131" sqref="H131"/>
    </sheetView>
  </sheetViews>
  <sheetFormatPr defaultColWidth="9.00390625" defaultRowHeight="12.75"/>
  <cols>
    <col min="1" max="1" width="6.25390625" style="17" customWidth="1"/>
    <col min="2" max="2" width="59.75390625" style="17" customWidth="1"/>
    <col min="3" max="3" width="9.625" style="17" customWidth="1"/>
    <col min="4" max="4" width="12.875" style="17" customWidth="1"/>
    <col min="5" max="5" width="14.75390625" style="17" customWidth="1"/>
    <col min="6" max="9" width="14.00390625" style="17" customWidth="1"/>
    <col min="10" max="10" width="11.25390625" style="17" hidden="1" customWidth="1"/>
    <col min="11" max="11" width="13.125" style="17" bestFit="1" customWidth="1"/>
    <col min="12" max="12" width="12.25390625" style="17" customWidth="1"/>
    <col min="13" max="13" width="13.125" style="17" bestFit="1" customWidth="1"/>
    <col min="14" max="14" width="12.00390625" style="0" customWidth="1"/>
    <col min="15" max="15" width="11.75390625" style="0" bestFit="1" customWidth="1"/>
  </cols>
  <sheetData>
    <row r="1" spans="1:13" s="3" customFormat="1" ht="15.75">
      <c r="A1" s="13"/>
      <c r="B1" s="54"/>
      <c r="C1" s="54"/>
      <c r="D1" s="54"/>
      <c r="E1" s="13"/>
      <c r="F1" s="13"/>
      <c r="G1" s="13"/>
      <c r="H1" s="13"/>
      <c r="I1" s="20"/>
      <c r="J1" s="13"/>
      <c r="K1" s="13"/>
      <c r="L1" s="13"/>
      <c r="M1" s="13"/>
    </row>
    <row r="2" spans="1:13" s="3" customFormat="1" ht="15.75" hidden="1">
      <c r="A2" s="13"/>
      <c r="B2" s="13"/>
      <c r="C2" s="13"/>
      <c r="D2" s="13"/>
      <c r="E2" s="13"/>
      <c r="F2" s="13"/>
      <c r="G2" s="13"/>
      <c r="H2" s="13"/>
      <c r="I2" s="20"/>
      <c r="J2" s="13"/>
      <c r="K2" s="13"/>
      <c r="L2" s="13"/>
      <c r="M2" s="13"/>
    </row>
    <row r="3" spans="1:13" s="3" customFormat="1" ht="15.75" hidden="1">
      <c r="A3" s="13"/>
      <c r="B3" s="30"/>
      <c r="C3" s="30"/>
      <c r="D3" s="30"/>
      <c r="E3" s="13"/>
      <c r="F3" s="13"/>
      <c r="G3" s="13"/>
      <c r="H3" s="13"/>
      <c r="I3" s="20"/>
      <c r="J3" s="13"/>
      <c r="K3" s="13"/>
      <c r="L3" s="13"/>
      <c r="M3" s="13"/>
    </row>
    <row r="4" spans="1:13" s="3" customFormat="1" ht="15.75" hidden="1">
      <c r="A4" s="13"/>
      <c r="B4" s="13"/>
      <c r="C4" s="13"/>
      <c r="D4" s="13"/>
      <c r="E4" s="13"/>
      <c r="F4" s="13"/>
      <c r="G4" s="13"/>
      <c r="H4" s="13"/>
      <c r="I4" s="20"/>
      <c r="J4" s="13"/>
      <c r="K4" s="13"/>
      <c r="L4" s="13"/>
      <c r="M4" s="13"/>
    </row>
    <row r="5" spans="1:13" s="3" customFormat="1" ht="15.75" hidden="1">
      <c r="A5" s="13"/>
      <c r="B5" s="13"/>
      <c r="C5" s="13"/>
      <c r="D5" s="13"/>
      <c r="E5" s="13"/>
      <c r="F5" s="13"/>
      <c r="G5" s="13"/>
      <c r="H5" s="13"/>
      <c r="I5" s="20"/>
      <c r="J5" s="13"/>
      <c r="K5" s="13"/>
      <c r="L5" s="13"/>
      <c r="M5" s="13"/>
    </row>
    <row r="6" spans="1:13" s="3" customFormat="1" ht="90.75" customHeight="1" hidden="1">
      <c r="A6" s="13"/>
      <c r="B6" s="13"/>
      <c r="C6" s="13"/>
      <c r="D6" s="13"/>
      <c r="E6" s="13"/>
      <c r="F6" s="13"/>
      <c r="G6" s="13"/>
      <c r="H6" s="13"/>
      <c r="I6" s="20"/>
      <c r="J6" s="13"/>
      <c r="K6" s="13"/>
      <c r="L6" s="13"/>
      <c r="M6" s="13"/>
    </row>
    <row r="7" spans="1:13" s="3" customFormat="1" ht="15.75" hidden="1">
      <c r="A7" s="13"/>
      <c r="B7" s="13"/>
      <c r="C7" s="13"/>
      <c r="D7" s="13"/>
      <c r="E7" s="13"/>
      <c r="F7" s="13"/>
      <c r="G7" s="13"/>
      <c r="H7" s="13"/>
      <c r="I7" s="20"/>
      <c r="J7" s="13"/>
      <c r="K7" s="13"/>
      <c r="L7" s="13"/>
      <c r="M7" s="13"/>
    </row>
    <row r="8" spans="1:13" s="3" customFormat="1" ht="15.75" hidden="1">
      <c r="A8" s="13"/>
      <c r="B8" s="13"/>
      <c r="C8" s="13"/>
      <c r="D8" s="13"/>
      <c r="E8" s="13"/>
      <c r="F8" s="13"/>
      <c r="G8" s="13"/>
      <c r="H8" s="13"/>
      <c r="I8" s="20"/>
      <c r="J8" s="13"/>
      <c r="K8" s="13"/>
      <c r="L8" s="13"/>
      <c r="M8" s="13"/>
    </row>
    <row r="9" spans="1:13" s="3" customFormat="1" ht="15.75" hidden="1">
      <c r="A9" s="13"/>
      <c r="B9" s="13"/>
      <c r="C9" s="13"/>
      <c r="D9" s="13"/>
      <c r="E9" s="13"/>
      <c r="F9" s="13"/>
      <c r="G9" s="13"/>
      <c r="H9" s="13"/>
      <c r="I9" s="20"/>
      <c r="J9" s="13"/>
      <c r="K9" s="13"/>
      <c r="L9" s="13"/>
      <c r="M9" s="13"/>
    </row>
    <row r="10" spans="1:13" s="3" customFormat="1" ht="42.75" customHeight="1" hidden="1">
      <c r="A10" s="13"/>
      <c r="B10" s="13"/>
      <c r="C10" s="13"/>
      <c r="D10" s="13"/>
      <c r="E10" s="13"/>
      <c r="F10" s="13"/>
      <c r="G10" s="13"/>
      <c r="H10" s="13"/>
      <c r="I10" s="20"/>
      <c r="J10" s="13"/>
      <c r="K10" s="13"/>
      <c r="L10" s="13"/>
      <c r="M10" s="13"/>
    </row>
    <row r="11" spans="1:13" s="3" customFormat="1" ht="46.5" customHeight="1" hidden="1">
      <c r="A11" s="13"/>
      <c r="B11" s="13"/>
      <c r="C11" s="13"/>
      <c r="D11" s="13"/>
      <c r="E11" s="13"/>
      <c r="F11" s="13"/>
      <c r="G11" s="13"/>
      <c r="H11" s="13"/>
      <c r="I11" s="20"/>
      <c r="J11" s="13"/>
      <c r="K11" s="13"/>
      <c r="L11" s="13"/>
      <c r="M11" s="13"/>
    </row>
    <row r="12" spans="1:13" s="3" customFormat="1" ht="39.75" customHeight="1" hidden="1">
      <c r="A12" s="13"/>
      <c r="B12" s="13"/>
      <c r="C12" s="13"/>
      <c r="D12" s="13"/>
      <c r="E12" s="13"/>
      <c r="F12" s="13"/>
      <c r="G12" s="13"/>
      <c r="H12" s="13"/>
      <c r="I12" s="20"/>
      <c r="J12" s="13"/>
      <c r="K12" s="13"/>
      <c r="L12" s="13"/>
      <c r="M12" s="13"/>
    </row>
    <row r="13" spans="1:13" s="3" customFormat="1" ht="15.75" hidden="1">
      <c r="A13" s="13"/>
      <c r="B13" s="13"/>
      <c r="C13" s="13"/>
      <c r="D13" s="13"/>
      <c r="E13" s="13"/>
      <c r="F13" s="13"/>
      <c r="G13" s="13"/>
      <c r="H13" s="13"/>
      <c r="I13" s="20"/>
      <c r="J13" s="13"/>
      <c r="K13" s="13"/>
      <c r="L13" s="13"/>
      <c r="M13" s="13"/>
    </row>
    <row r="14" spans="1:13" s="3" customFormat="1" ht="15.75" hidden="1">
      <c r="A14" s="13"/>
      <c r="B14" s="13"/>
      <c r="C14" s="13"/>
      <c r="D14" s="13"/>
      <c r="E14" s="13"/>
      <c r="F14" s="13"/>
      <c r="G14" s="13"/>
      <c r="H14" s="13"/>
      <c r="I14" s="20"/>
      <c r="J14" s="13"/>
      <c r="K14" s="13"/>
      <c r="L14" s="13"/>
      <c r="M14" s="13"/>
    </row>
    <row r="15" spans="1:13" s="3" customFormat="1" ht="15.75" hidden="1">
      <c r="A15" s="13"/>
      <c r="B15" s="13"/>
      <c r="C15" s="13"/>
      <c r="D15" s="13"/>
      <c r="E15" s="13"/>
      <c r="F15" s="13"/>
      <c r="G15" s="13"/>
      <c r="H15" s="13"/>
      <c r="I15" s="20"/>
      <c r="J15" s="13"/>
      <c r="K15" s="13"/>
      <c r="L15" s="13"/>
      <c r="M15" s="13"/>
    </row>
    <row r="16" spans="1:13" s="3" customFormat="1" ht="15.75" hidden="1">
      <c r="A16" s="13"/>
      <c r="B16" s="13"/>
      <c r="C16" s="13"/>
      <c r="D16" s="13"/>
      <c r="E16" s="13"/>
      <c r="F16" s="13"/>
      <c r="G16" s="13"/>
      <c r="H16" s="13"/>
      <c r="I16" s="20"/>
      <c r="J16" s="13"/>
      <c r="K16" s="13"/>
      <c r="L16" s="13"/>
      <c r="M16" s="13"/>
    </row>
    <row r="17" spans="1:13" s="3" customFormat="1" ht="36" customHeight="1" hidden="1">
      <c r="A17" s="13"/>
      <c r="B17" s="13"/>
      <c r="C17" s="13"/>
      <c r="D17" s="13"/>
      <c r="E17" s="13"/>
      <c r="F17" s="13"/>
      <c r="G17" s="13"/>
      <c r="H17" s="13"/>
      <c r="I17" s="20"/>
      <c r="J17" s="13"/>
      <c r="K17" s="13"/>
      <c r="L17" s="13"/>
      <c r="M17" s="13"/>
    </row>
    <row r="18" spans="1:13" s="3" customFormat="1" ht="68.25" customHeight="1" hidden="1">
      <c r="A18" s="13"/>
      <c r="B18" s="13"/>
      <c r="C18" s="13"/>
      <c r="D18" s="13"/>
      <c r="E18" s="13"/>
      <c r="F18" s="13"/>
      <c r="G18" s="13"/>
      <c r="H18" s="13"/>
      <c r="I18" s="20"/>
      <c r="J18" s="13"/>
      <c r="K18" s="13"/>
      <c r="L18" s="13"/>
      <c r="M18" s="13"/>
    </row>
    <row r="19" spans="1:13" s="3" customFormat="1" ht="15.75" hidden="1">
      <c r="A19" s="13"/>
      <c r="B19" s="13"/>
      <c r="C19" s="13"/>
      <c r="D19" s="13"/>
      <c r="E19" s="13"/>
      <c r="F19" s="13"/>
      <c r="G19" s="13"/>
      <c r="H19" s="13"/>
      <c r="I19" s="20"/>
      <c r="J19" s="13"/>
      <c r="K19" s="13"/>
      <c r="L19" s="13"/>
      <c r="M19" s="13"/>
    </row>
    <row r="20" spans="1:13" s="3" customFormat="1" ht="15.75" hidden="1">
      <c r="A20" s="13"/>
      <c r="B20" s="13"/>
      <c r="C20" s="13"/>
      <c r="D20" s="13"/>
      <c r="E20" s="13"/>
      <c r="F20" s="13"/>
      <c r="G20" s="13"/>
      <c r="H20" s="13"/>
      <c r="I20" s="20"/>
      <c r="J20" s="13"/>
      <c r="K20" s="13"/>
      <c r="L20" s="13"/>
      <c r="M20" s="13"/>
    </row>
    <row r="21" spans="1:13" s="3" customFormat="1" ht="15.75" hidden="1">
      <c r="A21" s="13"/>
      <c r="B21" s="13"/>
      <c r="C21" s="13"/>
      <c r="D21" s="13"/>
      <c r="E21" s="13"/>
      <c r="F21" s="13"/>
      <c r="G21" s="13"/>
      <c r="H21" s="13"/>
      <c r="I21" s="20"/>
      <c r="J21" s="13"/>
      <c r="K21" s="13"/>
      <c r="L21" s="13"/>
      <c r="M21" s="13"/>
    </row>
    <row r="22" spans="1:13" s="3" customFormat="1" ht="15.75" hidden="1">
      <c r="A22" s="13"/>
      <c r="B22" s="13"/>
      <c r="C22" s="13"/>
      <c r="D22" s="13"/>
      <c r="E22" s="13"/>
      <c r="F22" s="13"/>
      <c r="G22" s="13"/>
      <c r="H22" s="13"/>
      <c r="I22" s="20"/>
      <c r="J22" s="13"/>
      <c r="K22" s="13"/>
      <c r="L22" s="13"/>
      <c r="M22" s="13"/>
    </row>
    <row r="23" spans="1:13" s="3" customFormat="1" ht="15.75" hidden="1">
      <c r="A23" s="13"/>
      <c r="B23" s="13"/>
      <c r="C23" s="13"/>
      <c r="D23" s="13"/>
      <c r="E23" s="13"/>
      <c r="F23" s="13"/>
      <c r="G23" s="13"/>
      <c r="H23" s="13"/>
      <c r="I23" s="20"/>
      <c r="J23" s="13"/>
      <c r="K23" s="13"/>
      <c r="L23" s="13"/>
      <c r="M23" s="13"/>
    </row>
    <row r="24" spans="1:13" s="3" customFormat="1" ht="15.75" hidden="1">
      <c r="A24" s="13"/>
      <c r="B24" s="14" t="s">
        <v>64</v>
      </c>
      <c r="C24" s="14"/>
      <c r="D24" s="14"/>
      <c r="E24" s="13"/>
      <c r="F24" s="13"/>
      <c r="G24" s="13"/>
      <c r="H24" s="13"/>
      <c r="I24" s="20"/>
      <c r="J24" s="13"/>
      <c r="K24" s="13"/>
      <c r="L24" s="13"/>
      <c r="M24" s="13"/>
    </row>
    <row r="25" spans="1:13" s="3" customFormat="1" ht="15.75" hidden="1">
      <c r="A25" s="13"/>
      <c r="B25" s="13"/>
      <c r="C25" s="13"/>
      <c r="D25" s="13"/>
      <c r="E25" s="13"/>
      <c r="F25" s="13"/>
      <c r="G25" s="13"/>
      <c r="H25" s="13"/>
      <c r="I25" s="20"/>
      <c r="J25" s="13"/>
      <c r="K25" s="13"/>
      <c r="L25" s="13"/>
      <c r="M25" s="13"/>
    </row>
    <row r="26" spans="1:13" s="3" customFormat="1" ht="18.75" customHeight="1" hidden="1">
      <c r="A26" s="13"/>
      <c r="B26" s="206" t="s">
        <v>66</v>
      </c>
      <c r="C26" s="100"/>
      <c r="D26" s="100"/>
      <c r="E26" s="172" t="s">
        <v>176</v>
      </c>
      <c r="F26" s="173"/>
      <c r="G26" s="216" t="s">
        <v>68</v>
      </c>
      <c r="H26" s="217"/>
      <c r="I26" s="217"/>
      <c r="J26" s="217"/>
      <c r="K26" s="217"/>
      <c r="L26" s="217"/>
      <c r="M26" s="13"/>
    </row>
    <row r="27" spans="1:13" s="3" customFormat="1" ht="18.75" customHeight="1" hidden="1">
      <c r="A27" s="13"/>
      <c r="B27" s="231"/>
      <c r="C27" s="101"/>
      <c r="D27" s="101"/>
      <c r="E27" s="172" t="s">
        <v>67</v>
      </c>
      <c r="F27" s="173"/>
      <c r="G27" s="172" t="s">
        <v>177</v>
      </c>
      <c r="H27" s="218"/>
      <c r="I27" s="173"/>
      <c r="J27" s="22"/>
      <c r="K27" s="206" t="s">
        <v>69</v>
      </c>
      <c r="L27" s="206" t="s">
        <v>178</v>
      </c>
      <c r="M27" s="13"/>
    </row>
    <row r="28" spans="1:13" s="3" customFormat="1" ht="37.5" customHeight="1" hidden="1">
      <c r="A28" s="13"/>
      <c r="B28" s="207"/>
      <c r="C28" s="99"/>
      <c r="D28" s="99"/>
      <c r="E28" s="22" t="s">
        <v>70</v>
      </c>
      <c r="F28" s="22" t="s">
        <v>71</v>
      </c>
      <c r="G28" s="22" t="s">
        <v>72</v>
      </c>
      <c r="H28" s="172" t="s">
        <v>73</v>
      </c>
      <c r="I28" s="173"/>
      <c r="J28" s="22"/>
      <c r="K28" s="207"/>
      <c r="L28" s="207"/>
      <c r="M28" s="13"/>
    </row>
    <row r="29" spans="1:13" s="3" customFormat="1" ht="15.75" hidden="1">
      <c r="A29" s="13"/>
      <c r="B29" s="22">
        <v>1</v>
      </c>
      <c r="C29" s="22"/>
      <c r="D29" s="22"/>
      <c r="E29" s="22">
        <v>2</v>
      </c>
      <c r="F29" s="22">
        <v>3</v>
      </c>
      <c r="G29" s="172">
        <v>4</v>
      </c>
      <c r="H29" s="218"/>
      <c r="I29" s="173"/>
      <c r="J29" s="22"/>
      <c r="K29" s="22">
        <v>5</v>
      </c>
      <c r="L29" s="22">
        <v>6</v>
      </c>
      <c r="M29" s="13"/>
    </row>
    <row r="30" spans="1:13" s="3" customFormat="1" ht="31.5" hidden="1">
      <c r="A30" s="13"/>
      <c r="B30" s="23" t="s">
        <v>74</v>
      </c>
      <c r="C30" s="23"/>
      <c r="D30" s="23"/>
      <c r="E30" s="24"/>
      <c r="F30" s="24"/>
      <c r="G30" s="24"/>
      <c r="H30" s="210"/>
      <c r="I30" s="212"/>
      <c r="J30" s="24"/>
      <c r="K30" s="24"/>
      <c r="L30" s="24"/>
      <c r="M30" s="13"/>
    </row>
    <row r="31" spans="1:13" s="3" customFormat="1" ht="47.25" hidden="1">
      <c r="A31" s="13"/>
      <c r="B31" s="23" t="s">
        <v>225</v>
      </c>
      <c r="C31" s="23"/>
      <c r="D31" s="23"/>
      <c r="E31" s="24">
        <v>8979</v>
      </c>
      <c r="F31" s="24">
        <v>8461</v>
      </c>
      <c r="G31" s="24">
        <v>8461</v>
      </c>
      <c r="H31" s="210">
        <v>7085</v>
      </c>
      <c r="I31" s="212"/>
      <c r="J31" s="24"/>
      <c r="K31" s="24"/>
      <c r="L31" s="24"/>
      <c r="M31" s="13"/>
    </row>
    <row r="32" spans="1:13" s="3" customFormat="1" ht="15.75" hidden="1">
      <c r="A32" s="13"/>
      <c r="B32" s="23"/>
      <c r="C32" s="23"/>
      <c r="D32" s="23"/>
      <c r="E32" s="24"/>
      <c r="F32" s="24"/>
      <c r="G32" s="24"/>
      <c r="H32" s="210"/>
      <c r="I32" s="212"/>
      <c r="J32" s="24"/>
      <c r="K32" s="24"/>
      <c r="L32" s="24"/>
      <c r="M32" s="13"/>
    </row>
    <row r="33" spans="1:13" s="3" customFormat="1" ht="18.75" hidden="1">
      <c r="A33" s="13"/>
      <c r="B33" s="208"/>
      <c r="C33" s="209"/>
      <c r="D33" s="209"/>
      <c r="E33" s="209"/>
      <c r="F33" s="209"/>
      <c r="G33" s="209"/>
      <c r="H33" s="209"/>
      <c r="I33" s="209"/>
      <c r="J33" s="209"/>
      <c r="K33" s="209"/>
      <c r="L33" s="209"/>
      <c r="M33" s="13"/>
    </row>
    <row r="34" spans="1:13" s="3" customFormat="1" ht="18.75" customHeight="1" hidden="1">
      <c r="A34" s="13"/>
      <c r="B34" s="208" t="s">
        <v>75</v>
      </c>
      <c r="C34" s="209"/>
      <c r="D34" s="209"/>
      <c r="E34" s="209"/>
      <c r="F34" s="209"/>
      <c r="G34" s="209"/>
      <c r="H34" s="209"/>
      <c r="I34" s="209"/>
      <c r="J34" s="209"/>
      <c r="K34" s="209"/>
      <c r="L34" s="209"/>
      <c r="M34" s="13"/>
    </row>
    <row r="35" spans="1:13" s="3" customFormat="1" ht="40.5" customHeight="1" hidden="1">
      <c r="A35" s="13"/>
      <c r="B35" s="25" t="s">
        <v>76</v>
      </c>
      <c r="C35" s="25"/>
      <c r="D35" s="25"/>
      <c r="E35" s="24">
        <v>2</v>
      </c>
      <c r="F35" s="24">
        <v>2</v>
      </c>
      <c r="G35" s="210">
        <v>2</v>
      </c>
      <c r="H35" s="211"/>
      <c r="I35" s="212"/>
      <c r="J35" s="24"/>
      <c r="K35" s="24"/>
      <c r="L35" s="24"/>
      <c r="M35" s="13"/>
    </row>
    <row r="36" spans="1:13" s="3" customFormat="1" ht="15.75" hidden="1">
      <c r="A36" s="13"/>
      <c r="B36" s="25" t="s">
        <v>77</v>
      </c>
      <c r="C36" s="25"/>
      <c r="D36" s="25"/>
      <c r="E36" s="24">
        <v>15</v>
      </c>
      <c r="F36" s="24">
        <v>15</v>
      </c>
      <c r="G36" s="210">
        <v>15</v>
      </c>
      <c r="H36" s="211"/>
      <c r="I36" s="212"/>
      <c r="J36" s="24"/>
      <c r="K36" s="24"/>
      <c r="L36" s="24"/>
      <c r="M36" s="13"/>
    </row>
    <row r="37" spans="1:13" s="3" customFormat="1" ht="15.75" hidden="1">
      <c r="A37" s="13"/>
      <c r="B37" s="25" t="s">
        <v>78</v>
      </c>
      <c r="C37" s="25"/>
      <c r="D37" s="25"/>
      <c r="E37" s="24">
        <v>10</v>
      </c>
      <c r="F37" s="24">
        <v>10</v>
      </c>
      <c r="G37" s="210">
        <v>10</v>
      </c>
      <c r="H37" s="211"/>
      <c r="I37" s="212"/>
      <c r="J37" s="24"/>
      <c r="K37" s="24"/>
      <c r="L37" s="24"/>
      <c r="M37" s="13"/>
    </row>
    <row r="38" spans="1:13" s="3" customFormat="1" ht="18.75" customHeight="1" hidden="1">
      <c r="A38" s="13"/>
      <c r="B38" s="208" t="s">
        <v>79</v>
      </c>
      <c r="C38" s="209"/>
      <c r="D38" s="209"/>
      <c r="E38" s="209"/>
      <c r="F38" s="209"/>
      <c r="G38" s="209"/>
      <c r="H38" s="209"/>
      <c r="I38" s="209"/>
      <c r="J38" s="209"/>
      <c r="K38" s="209"/>
      <c r="L38" s="209"/>
      <c r="M38" s="13"/>
    </row>
    <row r="39" spans="1:13" s="3" customFormat="1" ht="15.75" hidden="1">
      <c r="A39" s="13"/>
      <c r="B39" s="23"/>
      <c r="C39" s="89"/>
      <c r="D39" s="89"/>
      <c r="E39" s="210" t="s">
        <v>39</v>
      </c>
      <c r="F39" s="212"/>
      <c r="G39" s="213"/>
      <c r="H39" s="214"/>
      <c r="I39" s="215"/>
      <c r="J39" s="23"/>
      <c r="K39" s="23"/>
      <c r="L39" s="23"/>
      <c r="M39" s="13"/>
    </row>
    <row r="40" spans="1:13" s="3" customFormat="1" ht="15.75" hidden="1">
      <c r="A40" s="13"/>
      <c r="B40" s="23" t="s">
        <v>213</v>
      </c>
      <c r="C40" s="89"/>
      <c r="D40" s="89"/>
      <c r="E40" s="203">
        <f>SUM(E41,E46)+E42</f>
        <v>7419.5556400000005</v>
      </c>
      <c r="F40" s="205"/>
      <c r="G40" s="203">
        <f>G41+G46+G48+G42</f>
        <v>8076.2047468</v>
      </c>
      <c r="H40" s="204"/>
      <c r="I40" s="205"/>
      <c r="J40" s="23"/>
      <c r="K40" s="23"/>
      <c r="L40" s="23"/>
      <c r="M40" s="13"/>
    </row>
    <row r="41" spans="1:13" s="3" customFormat="1" ht="15.75" hidden="1">
      <c r="A41" s="13"/>
      <c r="B41" s="22" t="s">
        <v>80</v>
      </c>
      <c r="C41" s="98"/>
      <c r="D41" s="98"/>
      <c r="E41" s="203">
        <v>6681.04464</v>
      </c>
      <c r="F41" s="205"/>
      <c r="G41" s="203">
        <v>7411.200714</v>
      </c>
      <c r="H41" s="204"/>
      <c r="I41" s="205"/>
      <c r="J41" s="24"/>
      <c r="K41" s="24"/>
      <c r="L41" s="24"/>
      <c r="M41" s="13"/>
    </row>
    <row r="42" spans="1:13" s="3" customFormat="1" ht="15.75" hidden="1">
      <c r="A42" s="13"/>
      <c r="B42" s="26" t="s">
        <v>214</v>
      </c>
      <c r="C42" s="102"/>
      <c r="D42" s="102"/>
      <c r="E42" s="203">
        <f>246.9+5.87</f>
        <v>252.77</v>
      </c>
      <c r="F42" s="205"/>
      <c r="G42" s="203">
        <v>131.6290328</v>
      </c>
      <c r="H42" s="204"/>
      <c r="I42" s="205"/>
      <c r="J42" s="24"/>
      <c r="K42" s="24"/>
      <c r="L42" s="24"/>
      <c r="M42" s="13"/>
    </row>
    <row r="43" spans="1:13" s="3" customFormat="1" ht="15.75" hidden="1">
      <c r="A43" s="13"/>
      <c r="B43" s="25" t="s">
        <v>81</v>
      </c>
      <c r="C43" s="103"/>
      <c r="D43" s="103"/>
      <c r="E43" s="203"/>
      <c r="F43" s="205"/>
      <c r="G43" s="203"/>
      <c r="H43" s="204"/>
      <c r="I43" s="205"/>
      <c r="J43" s="24"/>
      <c r="K43" s="24"/>
      <c r="L43" s="24"/>
      <c r="M43" s="13"/>
    </row>
    <row r="44" spans="1:13" s="3" customFormat="1" ht="15.75" hidden="1">
      <c r="A44" s="13"/>
      <c r="B44" s="25" t="s">
        <v>82</v>
      </c>
      <c r="C44" s="103"/>
      <c r="D44" s="103"/>
      <c r="E44" s="203">
        <f>E41/F31</f>
        <v>0.7896282519796715</v>
      </c>
      <c r="F44" s="205"/>
      <c r="G44" s="203">
        <f>G41/H31</f>
        <v>1.0460410323218066</v>
      </c>
      <c r="H44" s="204"/>
      <c r="I44" s="205"/>
      <c r="J44" s="24"/>
      <c r="K44" s="24"/>
      <c r="L44" s="24"/>
      <c r="M44" s="13"/>
    </row>
    <row r="45" spans="1:13" s="3" customFormat="1" ht="15.75" hidden="1">
      <c r="A45" s="13"/>
      <c r="B45" s="25" t="s">
        <v>83</v>
      </c>
      <c r="C45" s="103"/>
      <c r="D45" s="103"/>
      <c r="E45" s="203"/>
      <c r="F45" s="205"/>
      <c r="G45" s="203"/>
      <c r="H45" s="204"/>
      <c r="I45" s="205"/>
      <c r="J45" s="24"/>
      <c r="K45" s="24"/>
      <c r="L45" s="24"/>
      <c r="M45" s="13"/>
    </row>
    <row r="46" spans="1:13" s="3" customFormat="1" ht="15.75" hidden="1">
      <c r="A46" s="13"/>
      <c r="B46" s="25" t="s">
        <v>84</v>
      </c>
      <c r="C46" s="103"/>
      <c r="D46" s="103"/>
      <c r="E46" s="203">
        <v>485.741</v>
      </c>
      <c r="F46" s="205"/>
      <c r="G46" s="203">
        <v>523.375</v>
      </c>
      <c r="H46" s="204"/>
      <c r="I46" s="205"/>
      <c r="J46" s="24"/>
      <c r="K46" s="24"/>
      <c r="L46" s="24"/>
      <c r="M46" s="13"/>
    </row>
    <row r="47" spans="1:13" s="3" customFormat="1" ht="31.5" hidden="1">
      <c r="A47" s="13"/>
      <c r="B47" s="25" t="s">
        <v>85</v>
      </c>
      <c r="C47" s="103"/>
      <c r="D47" s="103"/>
      <c r="E47" s="203">
        <f>E46/F31</f>
        <v>0.057409407871409995</v>
      </c>
      <c r="F47" s="205"/>
      <c r="G47" s="203">
        <f>G46/H31</f>
        <v>0.07387085391672547</v>
      </c>
      <c r="H47" s="204"/>
      <c r="I47" s="205"/>
      <c r="J47" s="24"/>
      <c r="K47" s="24"/>
      <c r="L47" s="24"/>
      <c r="M47" s="13"/>
    </row>
    <row r="48" spans="1:13" s="3" customFormat="1" ht="31.5" hidden="1">
      <c r="A48" s="13"/>
      <c r="B48" s="25" t="s">
        <v>86</v>
      </c>
      <c r="C48" s="103"/>
      <c r="D48" s="103"/>
      <c r="E48" s="203"/>
      <c r="F48" s="205"/>
      <c r="G48" s="203">
        <v>10</v>
      </c>
      <c r="H48" s="204"/>
      <c r="I48" s="205"/>
      <c r="J48" s="24"/>
      <c r="K48" s="24"/>
      <c r="L48" s="24"/>
      <c r="M48" s="13"/>
    </row>
    <row r="49" spans="1:13" s="3" customFormat="1" ht="18.75" customHeight="1" hidden="1">
      <c r="A49" s="13"/>
      <c r="B49" s="208" t="s">
        <v>87</v>
      </c>
      <c r="C49" s="209"/>
      <c r="D49" s="209"/>
      <c r="E49" s="209"/>
      <c r="F49" s="209"/>
      <c r="G49" s="209"/>
      <c r="H49" s="209"/>
      <c r="I49" s="209"/>
      <c r="J49" s="209"/>
      <c r="K49" s="209"/>
      <c r="L49" s="209"/>
      <c r="M49" s="13"/>
    </row>
    <row r="50" spans="1:13" s="3" customFormat="1" ht="15.75" hidden="1">
      <c r="A50" s="13"/>
      <c r="B50" s="25" t="s">
        <v>88</v>
      </c>
      <c r="C50" s="103"/>
      <c r="D50" s="103"/>
      <c r="E50" s="232">
        <v>156.1837037</v>
      </c>
      <c r="F50" s="233"/>
      <c r="G50" s="232">
        <v>174.4003704</v>
      </c>
      <c r="H50" s="234"/>
      <c r="I50" s="233"/>
      <c r="J50" s="23"/>
      <c r="K50" s="23"/>
      <c r="L50" s="23"/>
      <c r="M50" s="13"/>
    </row>
    <row r="51" spans="1:13" s="3" customFormat="1" ht="31.5" hidden="1">
      <c r="A51" s="13"/>
      <c r="B51" s="25" t="s">
        <v>89</v>
      </c>
      <c r="C51" s="103"/>
      <c r="D51" s="103"/>
      <c r="E51" s="225">
        <v>0.79</v>
      </c>
      <c r="F51" s="226"/>
      <c r="G51" s="225">
        <v>0.78</v>
      </c>
      <c r="H51" s="227"/>
      <c r="I51" s="226"/>
      <c r="J51" s="27"/>
      <c r="K51" s="27"/>
      <c r="L51" s="27"/>
      <c r="M51" s="13"/>
    </row>
    <row r="52" spans="1:13" s="3" customFormat="1" ht="18.75" customHeight="1" hidden="1">
      <c r="A52" s="13"/>
      <c r="B52" s="208" t="s">
        <v>90</v>
      </c>
      <c r="C52" s="209"/>
      <c r="D52" s="209"/>
      <c r="E52" s="209"/>
      <c r="F52" s="209"/>
      <c r="G52" s="209"/>
      <c r="H52" s="209"/>
      <c r="I52" s="209"/>
      <c r="J52" s="209"/>
      <c r="K52" s="209"/>
      <c r="L52" s="209"/>
      <c r="M52" s="13"/>
    </row>
    <row r="53" spans="1:13" s="3" customFormat="1" ht="18.75" customHeight="1" hidden="1">
      <c r="A53" s="13"/>
      <c r="B53" s="25" t="s">
        <v>91</v>
      </c>
      <c r="C53" s="103"/>
      <c r="D53" s="103"/>
      <c r="E53" s="213"/>
      <c r="F53" s="215"/>
      <c r="G53" s="213"/>
      <c r="H53" s="215"/>
      <c r="I53" s="219"/>
      <c r="J53" s="220"/>
      <c r="K53" s="221"/>
      <c r="L53" s="89"/>
      <c r="M53" s="13"/>
    </row>
    <row r="54" spans="1:13" s="3" customFormat="1" ht="31.5" hidden="1">
      <c r="A54" s="13"/>
      <c r="B54" s="25" t="s">
        <v>92</v>
      </c>
      <c r="C54" s="103"/>
      <c r="D54" s="103"/>
      <c r="E54" s="213"/>
      <c r="F54" s="215"/>
      <c r="G54" s="213"/>
      <c r="H54" s="215"/>
      <c r="I54" s="219"/>
      <c r="J54" s="220"/>
      <c r="K54" s="221"/>
      <c r="L54" s="23"/>
      <c r="M54" s="13"/>
    </row>
    <row r="55" spans="1:13" s="3" customFormat="1" ht="18.75" customHeight="1" hidden="1">
      <c r="A55" s="13"/>
      <c r="B55" s="208" t="s">
        <v>93</v>
      </c>
      <c r="C55" s="209"/>
      <c r="D55" s="209"/>
      <c r="E55" s="209"/>
      <c r="F55" s="209"/>
      <c r="G55" s="209"/>
      <c r="H55" s="209"/>
      <c r="I55" s="209"/>
      <c r="J55" s="209"/>
      <c r="K55" s="209"/>
      <c r="L55" s="209"/>
      <c r="M55" s="13"/>
    </row>
    <row r="56" spans="1:13" s="3" customFormat="1" ht="37.5" customHeight="1" hidden="1">
      <c r="A56" s="30"/>
      <c r="B56" s="28" t="s">
        <v>94</v>
      </c>
      <c r="C56" s="104"/>
      <c r="D56" s="104"/>
      <c r="E56" s="197" t="s">
        <v>192</v>
      </c>
      <c r="F56" s="198"/>
      <c r="G56" s="197" t="s">
        <v>193</v>
      </c>
      <c r="H56" s="198"/>
      <c r="I56" s="222" t="s">
        <v>194</v>
      </c>
      <c r="J56" s="223"/>
      <c r="K56" s="224"/>
      <c r="L56" s="88" t="s">
        <v>195</v>
      </c>
      <c r="M56" s="13"/>
    </row>
    <row r="57" spans="1:13" s="3" customFormat="1" ht="56.25" customHeight="1" hidden="1">
      <c r="A57" s="13"/>
      <c r="B57" s="29" t="s">
        <v>207</v>
      </c>
      <c r="C57" s="105"/>
      <c r="D57" s="105"/>
      <c r="E57" s="170" t="s">
        <v>199</v>
      </c>
      <c r="F57" s="171"/>
      <c r="G57" s="201" t="s">
        <v>196</v>
      </c>
      <c r="H57" s="202"/>
      <c r="I57" s="228" t="s">
        <v>197</v>
      </c>
      <c r="J57" s="229"/>
      <c r="K57" s="230"/>
      <c r="L57" s="87" t="s">
        <v>198</v>
      </c>
      <c r="M57" s="13"/>
    </row>
    <row r="58" spans="1:13" s="3" customFormat="1" ht="18.75" customHeight="1" hidden="1">
      <c r="A58" s="13"/>
      <c r="B58" s="29" t="s">
        <v>208</v>
      </c>
      <c r="C58" s="105"/>
      <c r="D58" s="105"/>
      <c r="E58" s="170" t="s">
        <v>200</v>
      </c>
      <c r="F58" s="171"/>
      <c r="G58" s="170" t="s">
        <v>201</v>
      </c>
      <c r="H58" s="171"/>
      <c r="I58" s="228" t="s">
        <v>197</v>
      </c>
      <c r="J58" s="229"/>
      <c r="K58" s="230"/>
      <c r="L58" s="87" t="s">
        <v>202</v>
      </c>
      <c r="M58" s="13"/>
    </row>
    <row r="59" spans="1:13" s="3" customFormat="1" ht="75" customHeight="1" hidden="1">
      <c r="A59" s="13"/>
      <c r="B59" s="29" t="s">
        <v>209</v>
      </c>
      <c r="C59" s="105"/>
      <c r="D59" s="105"/>
      <c r="E59" s="170" t="s">
        <v>199</v>
      </c>
      <c r="F59" s="171"/>
      <c r="G59" s="170" t="s">
        <v>204</v>
      </c>
      <c r="H59" s="171"/>
      <c r="I59" s="228" t="s">
        <v>203</v>
      </c>
      <c r="J59" s="229"/>
      <c r="K59" s="230"/>
      <c r="L59" s="87" t="s">
        <v>205</v>
      </c>
      <c r="M59" s="13"/>
    </row>
    <row r="60" spans="1:13" s="3" customFormat="1" ht="15.75" hidden="1">
      <c r="A60" s="30" t="s">
        <v>226</v>
      </c>
      <c r="B60" s="31" t="s">
        <v>95</v>
      </c>
      <c r="C60" s="31"/>
      <c r="D60" s="31"/>
      <c r="E60" s="31"/>
      <c r="F60" s="13"/>
      <c r="G60" s="13"/>
      <c r="H60" s="13"/>
      <c r="I60" s="20"/>
      <c r="J60" s="13"/>
      <c r="K60" s="13"/>
      <c r="L60" s="13"/>
      <c r="M60" s="13"/>
    </row>
    <row r="61" spans="1:13" s="3" customFormat="1" ht="15.75" hidden="1">
      <c r="A61" s="13" t="s">
        <v>96</v>
      </c>
      <c r="B61" s="13" t="s">
        <v>97</v>
      </c>
      <c r="C61" s="13"/>
      <c r="D61" s="13"/>
      <c r="E61" s="13"/>
      <c r="F61" s="13"/>
      <c r="G61" s="13"/>
      <c r="H61" s="13"/>
      <c r="I61" s="20"/>
      <c r="J61" s="13"/>
      <c r="K61" s="13"/>
      <c r="L61" s="13"/>
      <c r="M61" s="13"/>
    </row>
    <row r="62" spans="1:13" s="3" customFormat="1" ht="15.75" hidden="1">
      <c r="A62" s="13"/>
      <c r="B62" s="13"/>
      <c r="C62" s="13"/>
      <c r="D62" s="13"/>
      <c r="E62" s="13"/>
      <c r="F62" s="13"/>
      <c r="G62" s="21" t="s">
        <v>220</v>
      </c>
      <c r="H62" s="13"/>
      <c r="I62" s="20"/>
      <c r="J62" s="13"/>
      <c r="K62" s="13"/>
      <c r="L62" s="13"/>
      <c r="M62" s="13"/>
    </row>
    <row r="63" spans="1:13" s="5" customFormat="1" ht="79.5" customHeight="1" hidden="1">
      <c r="A63" s="32" t="s">
        <v>98</v>
      </c>
      <c r="B63" s="24" t="s">
        <v>99</v>
      </c>
      <c r="C63" s="24"/>
      <c r="D63" s="24"/>
      <c r="E63" s="24" t="s">
        <v>100</v>
      </c>
      <c r="F63" s="24" t="s">
        <v>101</v>
      </c>
      <c r="G63" s="24" t="s">
        <v>102</v>
      </c>
      <c r="H63" s="13"/>
      <c r="I63" s="20"/>
      <c r="J63" s="13"/>
      <c r="K63" s="13"/>
      <c r="L63" s="13"/>
      <c r="M63" s="30"/>
    </row>
    <row r="64" spans="1:13" s="3" customFormat="1" ht="15.75" hidden="1">
      <c r="A64" s="32" t="s">
        <v>103</v>
      </c>
      <c r="B64" s="33"/>
      <c r="C64" s="33"/>
      <c r="D64" s="33"/>
      <c r="E64" s="32"/>
      <c r="F64" s="32"/>
      <c r="G64" s="32"/>
      <c r="H64" s="13"/>
      <c r="I64" s="20"/>
      <c r="J64" s="13"/>
      <c r="K64" s="13"/>
      <c r="L64" s="13"/>
      <c r="M64" s="13"/>
    </row>
    <row r="65" spans="1:13" s="3" customFormat="1" ht="15.75" hidden="1">
      <c r="A65" s="13"/>
      <c r="B65" s="55"/>
      <c r="C65" s="55"/>
      <c r="D65" s="55"/>
      <c r="E65" s="13"/>
      <c r="F65" s="13"/>
      <c r="G65" s="13"/>
      <c r="H65" s="13"/>
      <c r="I65" s="20"/>
      <c r="J65" s="13"/>
      <c r="K65" s="13"/>
      <c r="L65" s="13"/>
      <c r="M65" s="13"/>
    </row>
    <row r="66" spans="1:13" s="3" customFormat="1" ht="15.75">
      <c r="A66" s="13"/>
      <c r="B66" s="56" t="s">
        <v>260</v>
      </c>
      <c r="C66" s="56"/>
      <c r="D66" s="56"/>
      <c r="E66" s="13"/>
      <c r="F66" s="13"/>
      <c r="G66" s="13"/>
      <c r="H66" s="13"/>
      <c r="I66" s="20"/>
      <c r="J66" s="13"/>
      <c r="K66" s="13"/>
      <c r="L66" s="13"/>
      <c r="M66" s="13"/>
    </row>
    <row r="67" spans="1:13" s="3" customFormat="1" ht="15.75">
      <c r="A67" s="13"/>
      <c r="B67" s="13"/>
      <c r="C67" s="13"/>
      <c r="D67" s="13"/>
      <c r="E67" s="13"/>
      <c r="F67" s="13"/>
      <c r="G67" s="13"/>
      <c r="H67" s="13"/>
      <c r="I67" s="20" t="s">
        <v>105</v>
      </c>
      <c r="J67" s="13"/>
      <c r="K67" s="13"/>
      <c r="L67" s="13"/>
      <c r="M67" s="13"/>
    </row>
    <row r="68" spans="1:13" s="3" customFormat="1" ht="31.5">
      <c r="A68" s="57" t="s">
        <v>98</v>
      </c>
      <c r="B68" s="58" t="s">
        <v>106</v>
      </c>
      <c r="C68" s="58" t="s">
        <v>267</v>
      </c>
      <c r="D68" s="58" t="s">
        <v>268</v>
      </c>
      <c r="E68" s="59" t="s">
        <v>107</v>
      </c>
      <c r="F68" s="59" t="s">
        <v>108</v>
      </c>
      <c r="G68" s="59" t="s">
        <v>109</v>
      </c>
      <c r="H68" s="59" t="s">
        <v>110</v>
      </c>
      <c r="I68" s="60" t="s">
        <v>258</v>
      </c>
      <c r="J68" s="57"/>
      <c r="K68" s="13"/>
      <c r="L68" s="13"/>
      <c r="M68" s="13"/>
    </row>
    <row r="69" spans="1:13" s="3" customFormat="1" ht="15.75">
      <c r="A69" s="57"/>
      <c r="B69" s="58"/>
      <c r="C69" s="58"/>
      <c r="D69" s="58"/>
      <c r="E69" s="59"/>
      <c r="F69" s="59"/>
      <c r="G69" s="59"/>
      <c r="H69" s="59"/>
      <c r="I69" s="61" t="s">
        <v>112</v>
      </c>
      <c r="J69" s="57"/>
      <c r="K69" s="13"/>
      <c r="L69" s="13"/>
      <c r="M69" s="13"/>
    </row>
    <row r="70" spans="1:13" s="3" customFormat="1" ht="15.75">
      <c r="A70" s="57"/>
      <c r="B70" s="58"/>
      <c r="C70" s="58"/>
      <c r="D70" s="58"/>
      <c r="E70" s="59"/>
      <c r="F70" s="59"/>
      <c r="G70" s="59"/>
      <c r="H70" s="59"/>
      <c r="I70" s="62"/>
      <c r="J70" s="59"/>
      <c r="K70" s="13"/>
      <c r="L70" s="13"/>
      <c r="M70" s="13"/>
    </row>
    <row r="71" spans="1:13" s="3" customFormat="1" ht="15.75">
      <c r="A71" s="57"/>
      <c r="B71" s="63" t="s">
        <v>113</v>
      </c>
      <c r="C71" s="63"/>
      <c r="D71" s="63"/>
      <c r="E71" s="58"/>
      <c r="F71" s="58"/>
      <c r="G71" s="58"/>
      <c r="H71" s="58"/>
      <c r="I71" s="64"/>
      <c r="J71" s="58"/>
      <c r="K71" s="13"/>
      <c r="L71" s="90"/>
      <c r="M71" s="13"/>
    </row>
    <row r="72" spans="1:13" s="3" customFormat="1" ht="15.75">
      <c r="A72" s="57">
        <v>1</v>
      </c>
      <c r="B72" s="57" t="s">
        <v>114</v>
      </c>
      <c r="C72" s="65"/>
      <c r="D72" s="65"/>
      <c r="E72" s="65"/>
      <c r="F72" s="66"/>
      <c r="G72" s="66"/>
      <c r="H72" s="66"/>
      <c r="I72" s="67"/>
      <c r="J72" s="66"/>
      <c r="K72" s="13"/>
      <c r="L72" s="13"/>
      <c r="M72" s="13"/>
    </row>
    <row r="73" spans="1:13" s="3" customFormat="1" ht="15.75">
      <c r="A73" s="57"/>
      <c r="B73" s="57" t="s">
        <v>221</v>
      </c>
      <c r="C73" s="57"/>
      <c r="D73" s="57"/>
      <c r="E73" s="96">
        <f>SUM(E75:E79)</f>
        <v>213.75</v>
      </c>
      <c r="F73" s="96">
        <f>SUM(F75:F79)</f>
        <v>237.8</v>
      </c>
      <c r="G73" s="96">
        <f>SUM(G75:G79)</f>
        <v>42.5</v>
      </c>
      <c r="H73" s="96">
        <f>SUM(H75:H79)</f>
        <v>286.05</v>
      </c>
      <c r="I73" s="142">
        <f>SUM(I75:I79)</f>
        <v>780.1</v>
      </c>
      <c r="J73" s="69"/>
      <c r="K73" s="13"/>
      <c r="L73" s="13"/>
      <c r="M73" s="13"/>
    </row>
    <row r="74" spans="1:13" s="3" customFormat="1" ht="21.75" customHeight="1">
      <c r="A74" s="60" t="s">
        <v>157</v>
      </c>
      <c r="B74" s="59" t="s">
        <v>115</v>
      </c>
      <c r="C74" s="59"/>
      <c r="D74" s="59"/>
      <c r="E74" s="97"/>
      <c r="F74" s="97"/>
      <c r="G74" s="97"/>
      <c r="H74" s="97"/>
      <c r="I74" s="143"/>
      <c r="J74" s="59"/>
      <c r="K74" s="13"/>
      <c r="L74" s="13"/>
      <c r="M74" s="13"/>
    </row>
    <row r="75" spans="1:13" s="3" customFormat="1" ht="18" customHeight="1">
      <c r="A75" s="60"/>
      <c r="B75" s="71" t="s">
        <v>116</v>
      </c>
      <c r="C75" s="71"/>
      <c r="D75" s="71"/>
      <c r="E75" s="97"/>
      <c r="F75" s="97"/>
      <c r="G75" s="97"/>
      <c r="H75" s="97"/>
      <c r="I75" s="143">
        <f>SUM(E75:H75)</f>
        <v>0</v>
      </c>
      <c r="J75" s="59">
        <f>I75/12</f>
        <v>0</v>
      </c>
      <c r="K75" s="13"/>
      <c r="L75" s="13"/>
      <c r="M75" s="13"/>
    </row>
    <row r="76" spans="1:13" s="3" customFormat="1" ht="15.75">
      <c r="A76" s="60" t="s">
        <v>158</v>
      </c>
      <c r="B76" s="71" t="s">
        <v>212</v>
      </c>
      <c r="C76" s="71"/>
      <c r="D76" s="71"/>
      <c r="E76" s="97"/>
      <c r="F76" s="97"/>
      <c r="G76" s="97"/>
      <c r="H76" s="97"/>
      <c r="I76" s="143">
        <f>SUM(E76:H76)</f>
        <v>0</v>
      </c>
      <c r="J76" s="59">
        <f>I76/9</f>
        <v>0</v>
      </c>
      <c r="K76" s="13"/>
      <c r="L76" s="91"/>
      <c r="M76" s="13"/>
    </row>
    <row r="77" spans="1:13" s="3" customFormat="1" ht="15.75">
      <c r="A77" s="60" t="s">
        <v>159</v>
      </c>
      <c r="B77" s="71" t="s">
        <v>117</v>
      </c>
      <c r="C77" s="71"/>
      <c r="D77" s="71"/>
      <c r="E77" s="97"/>
      <c r="F77" s="97"/>
      <c r="G77" s="97"/>
      <c r="H77" s="97"/>
      <c r="I77" s="143"/>
      <c r="J77" s="59"/>
      <c r="K77" s="13"/>
      <c r="L77" s="91"/>
      <c r="M77" s="13"/>
    </row>
    <row r="78" spans="1:13" s="3" customFormat="1" ht="111" customHeight="1">
      <c r="A78" s="60" t="s">
        <v>160</v>
      </c>
      <c r="B78" s="59" t="s">
        <v>235</v>
      </c>
      <c r="C78" s="59"/>
      <c r="D78" s="59"/>
      <c r="E78" s="97">
        <f>(57*50*75)/1000</f>
        <v>213.75</v>
      </c>
      <c r="F78" s="97">
        <f>((52*50*85)+16800)/1000</f>
        <v>237.8</v>
      </c>
      <c r="G78" s="97">
        <f>(10*50*85)/1000</f>
        <v>42.5</v>
      </c>
      <c r="H78" s="97">
        <f>((61*50*85)+16800)/1000</f>
        <v>276.05</v>
      </c>
      <c r="I78" s="143">
        <f aca="true" t="shared" si="0" ref="I78:I84">SUM(E78:H78)</f>
        <v>770.1</v>
      </c>
      <c r="J78" s="59">
        <f>I78/9</f>
        <v>85.56666666666666</v>
      </c>
      <c r="K78" s="91"/>
      <c r="L78" s="13"/>
      <c r="M78" s="13"/>
    </row>
    <row r="79" spans="1:13" s="3" customFormat="1" ht="38.25" customHeight="1">
      <c r="A79" s="60" t="s">
        <v>161</v>
      </c>
      <c r="B79" s="59" t="s">
        <v>222</v>
      </c>
      <c r="C79" s="59"/>
      <c r="D79" s="59"/>
      <c r="E79" s="97"/>
      <c r="F79" s="97"/>
      <c r="G79" s="97"/>
      <c r="H79" s="97">
        <f>10000/1000</f>
        <v>10</v>
      </c>
      <c r="I79" s="143">
        <f t="shared" si="0"/>
        <v>10</v>
      </c>
      <c r="J79" s="59"/>
      <c r="K79" s="91"/>
      <c r="L79" s="13"/>
      <c r="M79" s="13"/>
    </row>
    <row r="80" spans="1:13" s="3" customFormat="1" ht="16.5" customHeight="1">
      <c r="A80" s="57">
        <v>2</v>
      </c>
      <c r="B80" s="57" t="s">
        <v>118</v>
      </c>
      <c r="C80" s="57"/>
      <c r="D80" s="57"/>
      <c r="E80" s="96">
        <f>SUM(E81,E84,E89,E91,E108,E97,E117,E118,E122)</f>
        <v>213.74999999999997</v>
      </c>
      <c r="F80" s="96">
        <f>SUM(F81,F84,F89,F91,F108,F97,F117,F118,F122)</f>
        <v>237.79999999999998</v>
      </c>
      <c r="G80" s="96">
        <f>SUM(G81,G84,G89,G91,G108,G97,G117,G118,G122)</f>
        <v>42.5</v>
      </c>
      <c r="H80" s="96">
        <f>SUM(H81,H84,H89,H91,H108,H97,H117,H118,H122)</f>
        <v>286.05</v>
      </c>
      <c r="I80" s="142">
        <f>SUM(E80:H80)</f>
        <v>780.0999999999999</v>
      </c>
      <c r="J80" s="68">
        <f>SUM(J81,J84,J91,J108,J97,J117,J118,J122)</f>
        <v>6195.879333333333</v>
      </c>
      <c r="K80" s="92"/>
      <c r="L80" s="13"/>
      <c r="M80" s="13"/>
    </row>
    <row r="81" spans="1:13" s="3" customFormat="1" ht="15.75">
      <c r="A81" s="57"/>
      <c r="B81" s="57" t="s">
        <v>240</v>
      </c>
      <c r="C81" s="57"/>
      <c r="D81" s="57"/>
      <c r="E81" s="97">
        <f>SUM(E82:E83)</f>
        <v>0</v>
      </c>
      <c r="F81" s="97">
        <f>SUM(F82:F83)</f>
        <v>0</v>
      </c>
      <c r="G81" s="97">
        <f>SUM(G82:G83)</f>
        <v>0</v>
      </c>
      <c r="H81" s="97">
        <f>SUM(H82:H83)</f>
        <v>0</v>
      </c>
      <c r="I81" s="143">
        <f t="shared" si="0"/>
        <v>0</v>
      </c>
      <c r="J81" s="70">
        <f>4708.81+1422.061</f>
        <v>6130.871</v>
      </c>
      <c r="K81" s="13"/>
      <c r="L81" s="13"/>
      <c r="M81" s="13"/>
    </row>
    <row r="82" spans="1:14" s="3" customFormat="1" ht="15.75">
      <c r="A82" s="57"/>
      <c r="B82" s="106" t="s">
        <v>269</v>
      </c>
      <c r="C82" s="59">
        <v>211</v>
      </c>
      <c r="D82" s="59"/>
      <c r="E82" s="97"/>
      <c r="F82" s="97"/>
      <c r="G82" s="97"/>
      <c r="H82" s="97"/>
      <c r="I82" s="143">
        <f t="shared" si="0"/>
        <v>0</v>
      </c>
      <c r="J82" s="59"/>
      <c r="K82" s="13"/>
      <c r="L82" s="13"/>
      <c r="M82" s="13"/>
      <c r="N82" s="95"/>
    </row>
    <row r="83" spans="1:14" s="3" customFormat="1" ht="15.75">
      <c r="A83" s="57"/>
      <c r="B83" s="106" t="s">
        <v>270</v>
      </c>
      <c r="C83" s="59">
        <v>213</v>
      </c>
      <c r="D83" s="59"/>
      <c r="E83" s="97"/>
      <c r="F83" s="97"/>
      <c r="G83" s="97"/>
      <c r="H83" s="97"/>
      <c r="I83" s="143">
        <f t="shared" si="0"/>
        <v>0</v>
      </c>
      <c r="J83" s="59"/>
      <c r="K83" s="13"/>
      <c r="L83" s="93"/>
      <c r="M83" s="13"/>
      <c r="N83" s="95"/>
    </row>
    <row r="84" spans="1:14" s="3" customFormat="1" ht="31.5">
      <c r="A84" s="57"/>
      <c r="B84" s="57" t="s">
        <v>119</v>
      </c>
      <c r="C84" s="57">
        <v>212</v>
      </c>
      <c r="D84" s="57"/>
      <c r="E84" s="97">
        <f>SUM(E85:E87)</f>
        <v>0</v>
      </c>
      <c r="F84" s="97">
        <f>SUM(F85:F87)</f>
        <v>0</v>
      </c>
      <c r="G84" s="97">
        <f>SUM(G85:G87)</f>
        <v>0</v>
      </c>
      <c r="H84" s="97">
        <f>SUM(H85:H87)</f>
        <v>0</v>
      </c>
      <c r="I84" s="143">
        <f t="shared" si="0"/>
        <v>0</v>
      </c>
      <c r="J84" s="59">
        <f>I84/12</f>
        <v>0</v>
      </c>
      <c r="K84" s="94"/>
      <c r="L84" s="13"/>
      <c r="M84" s="13"/>
      <c r="N84" s="95"/>
    </row>
    <row r="85" spans="1:14" s="3" customFormat="1" ht="15.75">
      <c r="A85" s="57"/>
      <c r="B85" s="106" t="s">
        <v>247</v>
      </c>
      <c r="C85" s="108"/>
      <c r="D85" s="59">
        <v>101</v>
      </c>
      <c r="E85" s="97"/>
      <c r="F85" s="97"/>
      <c r="G85" s="97"/>
      <c r="H85" s="97"/>
      <c r="I85" s="143">
        <f>SUM(E85:H85)</f>
        <v>0</v>
      </c>
      <c r="J85" s="59"/>
      <c r="K85" s="94"/>
      <c r="L85" s="13"/>
      <c r="M85" s="13"/>
      <c r="N85" s="95"/>
    </row>
    <row r="86" spans="1:14" s="3" customFormat="1" ht="15.75">
      <c r="A86" s="57"/>
      <c r="B86" s="106" t="s">
        <v>248</v>
      </c>
      <c r="C86" s="108"/>
      <c r="D86" s="59">
        <v>102</v>
      </c>
      <c r="E86" s="97"/>
      <c r="F86" s="97"/>
      <c r="G86" s="97"/>
      <c r="H86" s="97"/>
      <c r="I86" s="143">
        <f>SUM(E86:H86)</f>
        <v>0</v>
      </c>
      <c r="J86" s="59"/>
      <c r="K86" s="94"/>
      <c r="L86" s="13"/>
      <c r="M86" s="13"/>
      <c r="N86" s="95"/>
    </row>
    <row r="87" spans="1:14" s="3" customFormat="1" ht="15.75">
      <c r="A87" s="57"/>
      <c r="B87" s="106" t="s">
        <v>251</v>
      </c>
      <c r="C87" s="108"/>
      <c r="D87" s="59">
        <v>104</v>
      </c>
      <c r="E87" s="97"/>
      <c r="F87" s="97"/>
      <c r="G87" s="97"/>
      <c r="H87" s="97"/>
      <c r="I87" s="143">
        <f>SUM(E87:H87)</f>
        <v>0</v>
      </c>
      <c r="J87" s="59"/>
      <c r="K87" s="94"/>
      <c r="L87" s="13"/>
      <c r="M87" s="13"/>
      <c r="N87" s="95"/>
    </row>
    <row r="88" spans="1:14" s="3" customFormat="1" ht="15.75">
      <c r="A88" s="57"/>
      <c r="B88" s="106" t="s">
        <v>271</v>
      </c>
      <c r="C88" s="108"/>
      <c r="D88" s="59">
        <v>103</v>
      </c>
      <c r="E88" s="97"/>
      <c r="F88" s="97"/>
      <c r="G88" s="97"/>
      <c r="H88" s="97"/>
      <c r="I88" s="143"/>
      <c r="J88" s="59"/>
      <c r="K88" s="94"/>
      <c r="L88" s="13"/>
      <c r="M88" s="13"/>
      <c r="N88" s="95"/>
    </row>
    <row r="89" spans="1:14" s="3" customFormat="1" ht="15.75">
      <c r="A89" s="57"/>
      <c r="B89" s="57" t="s">
        <v>256</v>
      </c>
      <c r="C89" s="57">
        <v>222</v>
      </c>
      <c r="D89" s="57"/>
      <c r="E89" s="97">
        <f>E90</f>
        <v>0</v>
      </c>
      <c r="F89" s="97">
        <f>F90</f>
        <v>0</v>
      </c>
      <c r="G89" s="97">
        <f>G90</f>
        <v>0</v>
      </c>
      <c r="H89" s="97">
        <f>H90</f>
        <v>0</v>
      </c>
      <c r="I89" s="143">
        <f>SUM(E89:H89)</f>
        <v>0</v>
      </c>
      <c r="J89" s="59"/>
      <c r="K89" s="94"/>
      <c r="L89" s="13"/>
      <c r="M89" s="13"/>
      <c r="N89" s="95"/>
    </row>
    <row r="90" spans="1:14" s="3" customFormat="1" ht="15.75">
      <c r="A90" s="57"/>
      <c r="B90" s="106" t="s">
        <v>257</v>
      </c>
      <c r="C90" s="59"/>
      <c r="D90" s="59">
        <v>104</v>
      </c>
      <c r="E90" s="97"/>
      <c r="F90" s="97"/>
      <c r="G90" s="97"/>
      <c r="H90" s="97"/>
      <c r="I90" s="143">
        <f>SUM(E90:H90)</f>
        <v>0</v>
      </c>
      <c r="J90" s="59"/>
      <c r="K90" s="94"/>
      <c r="L90" s="13"/>
      <c r="M90" s="13"/>
      <c r="N90" s="95"/>
    </row>
    <row r="91" spans="1:14" s="3" customFormat="1" ht="15.75">
      <c r="A91" s="57"/>
      <c r="B91" s="57" t="s">
        <v>120</v>
      </c>
      <c r="C91" s="57">
        <v>223</v>
      </c>
      <c r="D91" s="57"/>
      <c r="E91" s="97">
        <f>SUM(E92:E96)</f>
        <v>0</v>
      </c>
      <c r="F91" s="97">
        <f>SUM(F92:F96)</f>
        <v>3.09069</v>
      </c>
      <c r="G91" s="97">
        <f>SUM(G92:G96)</f>
        <v>0</v>
      </c>
      <c r="H91" s="97">
        <f>SUM(H92:H96)</f>
        <v>0</v>
      </c>
      <c r="I91" s="143">
        <f>SUM(I92:I96)</f>
        <v>3.09069</v>
      </c>
      <c r="J91" s="59">
        <f>I91/12</f>
        <v>0.2575575</v>
      </c>
      <c r="K91" s="13"/>
      <c r="L91" s="13"/>
      <c r="M91" s="13"/>
      <c r="N91" s="95"/>
    </row>
    <row r="92" spans="1:14" s="3" customFormat="1" ht="15.75">
      <c r="A92" s="59"/>
      <c r="B92" s="72" t="s">
        <v>121</v>
      </c>
      <c r="C92" s="72">
        <v>221</v>
      </c>
      <c r="D92" s="72"/>
      <c r="E92" s="97"/>
      <c r="F92" s="97"/>
      <c r="G92" s="97"/>
      <c r="H92" s="97"/>
      <c r="I92" s="145">
        <f>SUM(E92:H92)</f>
        <v>0</v>
      </c>
      <c r="J92" s="59">
        <f>I92/12</f>
        <v>0</v>
      </c>
      <c r="K92" s="93"/>
      <c r="L92" s="13"/>
      <c r="M92" s="13"/>
      <c r="N92" s="95"/>
    </row>
    <row r="93" spans="1:14" s="3" customFormat="1" ht="15.75">
      <c r="A93" s="59"/>
      <c r="B93" s="72" t="s">
        <v>122</v>
      </c>
      <c r="C93" s="72"/>
      <c r="D93" s="72">
        <v>110</v>
      </c>
      <c r="E93" s="97"/>
      <c r="F93" s="97"/>
      <c r="G93" s="97"/>
      <c r="H93" s="97"/>
      <c r="I93" s="145">
        <f>SUM(E93:H93)</f>
        <v>0</v>
      </c>
      <c r="J93" s="59">
        <f>I93/12</f>
        <v>0</v>
      </c>
      <c r="K93" s="93"/>
      <c r="L93" s="13"/>
      <c r="M93" s="13"/>
      <c r="N93" s="95"/>
    </row>
    <row r="94" spans="1:14" s="3" customFormat="1" ht="15.75">
      <c r="A94" s="59"/>
      <c r="B94" s="72" t="s">
        <v>183</v>
      </c>
      <c r="C94" s="72"/>
      <c r="D94" s="72">
        <v>127</v>
      </c>
      <c r="E94" s="97"/>
      <c r="F94" s="97">
        <f>6000/1000-2.90931</f>
        <v>3.09069</v>
      </c>
      <c r="G94" s="97"/>
      <c r="H94" s="97"/>
      <c r="I94" s="145">
        <f>SUM(E94:H94)</f>
        <v>3.09069</v>
      </c>
      <c r="J94" s="59"/>
      <c r="K94" s="93"/>
      <c r="L94" s="20"/>
      <c r="M94" s="13"/>
      <c r="N94" s="95"/>
    </row>
    <row r="95" spans="1:14" s="3" customFormat="1" ht="15.75">
      <c r="A95" s="59"/>
      <c r="B95" s="72" t="s">
        <v>123</v>
      </c>
      <c r="C95" s="72"/>
      <c r="D95" s="72">
        <v>107</v>
      </c>
      <c r="E95" s="97"/>
      <c r="F95" s="97"/>
      <c r="G95" s="97"/>
      <c r="H95" s="97"/>
      <c r="I95" s="145">
        <f>SUM(E95:H95)</f>
        <v>0</v>
      </c>
      <c r="J95" s="59">
        <f>I95/12</f>
        <v>0</v>
      </c>
      <c r="K95" s="93"/>
      <c r="L95" s="13"/>
      <c r="M95" s="13"/>
      <c r="N95" s="95"/>
    </row>
    <row r="96" spans="1:14" s="3" customFormat="1" ht="15.75">
      <c r="A96" s="59"/>
      <c r="B96" s="72" t="s">
        <v>124</v>
      </c>
      <c r="C96" s="72"/>
      <c r="D96" s="72">
        <v>109</v>
      </c>
      <c r="E96" s="97"/>
      <c r="F96" s="97"/>
      <c r="G96" s="97"/>
      <c r="H96" s="97"/>
      <c r="I96" s="145">
        <f>SUM(E96:H96)</f>
        <v>0</v>
      </c>
      <c r="J96" s="59">
        <f>I96/12</f>
        <v>0</v>
      </c>
      <c r="K96" s="93"/>
      <c r="L96" s="13"/>
      <c r="M96" s="13"/>
      <c r="N96" s="95"/>
    </row>
    <row r="97" spans="1:14" s="3" customFormat="1" ht="15.75">
      <c r="A97" s="57"/>
      <c r="B97" s="57" t="s">
        <v>127</v>
      </c>
      <c r="C97" s="57">
        <v>225</v>
      </c>
      <c r="D97" s="57"/>
      <c r="E97" s="97">
        <f>SUM(E98:E107)</f>
        <v>0</v>
      </c>
      <c r="F97" s="97">
        <f>SUM(F98:F107)</f>
        <v>0</v>
      </c>
      <c r="G97" s="97">
        <f>SUM(G98:G107)</f>
        <v>0</v>
      </c>
      <c r="H97" s="97">
        <f>SUM(H98:H107)</f>
        <v>0</v>
      </c>
      <c r="I97" s="143">
        <f>SUM(I98:I107)</f>
        <v>0</v>
      </c>
      <c r="J97" s="59">
        <f aca="true" t="shared" si="1" ref="J97:J102">I97/12</f>
        <v>0</v>
      </c>
      <c r="K97" s="13"/>
      <c r="L97" s="13"/>
      <c r="M97" s="13"/>
      <c r="N97" s="95"/>
    </row>
    <row r="98" spans="1:14" s="3" customFormat="1" ht="15.75">
      <c r="A98" s="59"/>
      <c r="B98" s="72" t="s">
        <v>252</v>
      </c>
      <c r="C98" s="72"/>
      <c r="D98" s="72">
        <v>129</v>
      </c>
      <c r="E98" s="97"/>
      <c r="F98" s="97"/>
      <c r="G98" s="97"/>
      <c r="H98" s="97"/>
      <c r="I98" s="145">
        <f aca="true" t="shared" si="2" ref="I98:I107">SUM(E98:H98)</f>
        <v>0</v>
      </c>
      <c r="J98" s="59">
        <f t="shared" si="1"/>
        <v>0</v>
      </c>
      <c r="K98" s="13"/>
      <c r="L98" s="13"/>
      <c r="M98" s="13"/>
      <c r="N98" s="95"/>
    </row>
    <row r="99" spans="1:14" s="3" customFormat="1" ht="15.75">
      <c r="A99" s="59"/>
      <c r="B99" s="72"/>
      <c r="C99" s="72"/>
      <c r="D99" s="72"/>
      <c r="E99" s="97"/>
      <c r="F99" s="97"/>
      <c r="G99" s="97"/>
      <c r="H99" s="97"/>
      <c r="I99" s="145">
        <f t="shared" si="2"/>
        <v>0</v>
      </c>
      <c r="J99" s="59">
        <f t="shared" si="1"/>
        <v>0</v>
      </c>
      <c r="K99" s="13"/>
      <c r="L99" s="13"/>
      <c r="M99" s="13"/>
      <c r="N99" s="95"/>
    </row>
    <row r="100" spans="1:14" s="3" customFormat="1" ht="15.75">
      <c r="A100" s="59"/>
      <c r="B100" s="72" t="s">
        <v>126</v>
      </c>
      <c r="C100" s="72"/>
      <c r="D100" s="72">
        <v>111</v>
      </c>
      <c r="E100" s="97"/>
      <c r="F100" s="97"/>
      <c r="G100" s="97"/>
      <c r="H100" s="97"/>
      <c r="I100" s="145">
        <f t="shared" si="2"/>
        <v>0</v>
      </c>
      <c r="J100" s="59">
        <f t="shared" si="1"/>
        <v>0</v>
      </c>
      <c r="K100" s="13"/>
      <c r="L100" s="13"/>
      <c r="M100" s="13"/>
      <c r="N100" s="95"/>
    </row>
    <row r="101" spans="1:14" s="3" customFormat="1" ht="15.75">
      <c r="A101" s="59"/>
      <c r="B101" s="72" t="s">
        <v>244</v>
      </c>
      <c r="C101" s="72"/>
      <c r="D101" s="72"/>
      <c r="E101" s="97"/>
      <c r="F101" s="97"/>
      <c r="G101" s="97"/>
      <c r="H101" s="97"/>
      <c r="I101" s="145">
        <f t="shared" si="2"/>
        <v>0</v>
      </c>
      <c r="J101" s="59">
        <f t="shared" si="1"/>
        <v>0</v>
      </c>
      <c r="K101" s="13"/>
      <c r="L101" s="13"/>
      <c r="M101" s="13"/>
      <c r="N101" s="95"/>
    </row>
    <row r="102" spans="1:14" s="3" customFormat="1" ht="15.75">
      <c r="A102" s="59"/>
      <c r="B102" s="72" t="s">
        <v>128</v>
      </c>
      <c r="C102" s="72"/>
      <c r="D102" s="72"/>
      <c r="E102" s="97"/>
      <c r="F102" s="97"/>
      <c r="G102" s="97"/>
      <c r="H102" s="97"/>
      <c r="I102" s="145">
        <f t="shared" si="2"/>
        <v>0</v>
      </c>
      <c r="J102" s="59">
        <f t="shared" si="1"/>
        <v>0</v>
      </c>
      <c r="K102" s="93"/>
      <c r="L102" s="13"/>
      <c r="M102" s="13"/>
      <c r="N102" s="95"/>
    </row>
    <row r="103" spans="1:14" s="3" customFormat="1" ht="15.75">
      <c r="A103" s="59"/>
      <c r="B103" s="72" t="s">
        <v>216</v>
      </c>
      <c r="C103" s="72"/>
      <c r="D103" s="72"/>
      <c r="E103" s="97"/>
      <c r="F103" s="97"/>
      <c r="G103" s="97"/>
      <c r="H103" s="97"/>
      <c r="I103" s="145">
        <f t="shared" si="2"/>
        <v>0</v>
      </c>
      <c r="J103" s="59"/>
      <c r="K103" s="93"/>
      <c r="L103" s="13"/>
      <c r="M103" s="13"/>
      <c r="N103" s="95"/>
    </row>
    <row r="104" spans="1:14" s="3" customFormat="1" ht="31.5">
      <c r="A104" s="59"/>
      <c r="B104" s="72" t="s">
        <v>129</v>
      </c>
      <c r="C104" s="72"/>
      <c r="D104" s="72"/>
      <c r="E104" s="97"/>
      <c r="F104" s="97"/>
      <c r="G104" s="97"/>
      <c r="H104" s="97"/>
      <c r="I104" s="145">
        <f t="shared" si="2"/>
        <v>0</v>
      </c>
      <c r="J104" s="59">
        <f>I104/12</f>
        <v>0</v>
      </c>
      <c r="K104" s="13"/>
      <c r="L104" s="13"/>
      <c r="M104" s="13"/>
      <c r="N104" s="95"/>
    </row>
    <row r="105" spans="1:14" s="3" customFormat="1" ht="15.75">
      <c r="A105" s="59"/>
      <c r="B105" s="72" t="s">
        <v>130</v>
      </c>
      <c r="C105" s="72"/>
      <c r="D105" s="72"/>
      <c r="E105" s="97"/>
      <c r="F105" s="97"/>
      <c r="G105" s="97"/>
      <c r="H105" s="97"/>
      <c r="I105" s="145">
        <f t="shared" si="2"/>
        <v>0</v>
      </c>
      <c r="J105" s="59">
        <f>I105/12</f>
        <v>0</v>
      </c>
      <c r="K105" s="13"/>
      <c r="L105" s="13"/>
      <c r="M105" s="13"/>
      <c r="N105" s="95"/>
    </row>
    <row r="106" spans="1:14" s="3" customFormat="1" ht="15.75">
      <c r="A106" s="59"/>
      <c r="B106" s="72" t="s">
        <v>184</v>
      </c>
      <c r="C106" s="72"/>
      <c r="D106" s="72"/>
      <c r="E106" s="97"/>
      <c r="F106" s="97"/>
      <c r="G106" s="97"/>
      <c r="H106" s="97"/>
      <c r="I106" s="145">
        <f t="shared" si="2"/>
        <v>0</v>
      </c>
      <c r="J106" s="59"/>
      <c r="K106" s="93"/>
      <c r="L106" s="13"/>
      <c r="M106" s="13"/>
      <c r="N106" s="95"/>
    </row>
    <row r="107" spans="1:14" s="3" customFormat="1" ht="15.75">
      <c r="A107" s="59"/>
      <c r="B107" s="72" t="s">
        <v>131</v>
      </c>
      <c r="C107" s="72"/>
      <c r="D107" s="72"/>
      <c r="E107" s="97"/>
      <c r="F107" s="97"/>
      <c r="G107" s="97"/>
      <c r="H107" s="97"/>
      <c r="I107" s="145">
        <f t="shared" si="2"/>
        <v>0</v>
      </c>
      <c r="J107" s="59">
        <f aca="true" t="shared" si="3" ref="J107:J112">I107/12</f>
        <v>0</v>
      </c>
      <c r="K107" s="93"/>
      <c r="L107" s="13"/>
      <c r="M107" s="13"/>
      <c r="N107" s="95"/>
    </row>
    <row r="108" spans="1:14" s="3" customFormat="1" ht="15.75">
      <c r="A108" s="57"/>
      <c r="B108" s="57" t="s">
        <v>125</v>
      </c>
      <c r="C108" s="57">
        <v>226</v>
      </c>
      <c r="D108" s="57"/>
      <c r="E108" s="97">
        <f>SUM(E109:E116)</f>
        <v>5.022399999999999</v>
      </c>
      <c r="F108" s="97">
        <f>SUM(F109:F116)</f>
        <v>26.05206</v>
      </c>
      <c r="G108" s="97">
        <f>SUM(G109:G116)</f>
        <v>0</v>
      </c>
      <c r="H108" s="97">
        <f>SUM(H109:H116)</f>
        <v>33.4776</v>
      </c>
      <c r="I108" s="143">
        <f>SUM(I109:I116)</f>
        <v>64.55206000000001</v>
      </c>
      <c r="J108" s="59">
        <f t="shared" si="3"/>
        <v>5.379338333333334</v>
      </c>
      <c r="K108" s="13"/>
      <c r="L108" s="13"/>
      <c r="M108" s="13"/>
      <c r="N108" s="95"/>
    </row>
    <row r="109" spans="1:14" s="3" customFormat="1" ht="15.75">
      <c r="A109" s="59"/>
      <c r="B109" s="72" t="s">
        <v>253</v>
      </c>
      <c r="C109" s="107"/>
      <c r="D109" s="72">
        <v>104</v>
      </c>
      <c r="E109" s="97"/>
      <c r="F109" s="97"/>
      <c r="G109" s="97"/>
      <c r="H109" s="97"/>
      <c r="I109" s="145">
        <f aca="true" t="shared" si="4" ref="I109:I117">SUM(E109:H109)</f>
        <v>0</v>
      </c>
      <c r="J109" s="59">
        <f t="shared" si="3"/>
        <v>0</v>
      </c>
      <c r="K109" s="13"/>
      <c r="L109" s="13"/>
      <c r="M109" s="13"/>
      <c r="N109" s="95"/>
    </row>
    <row r="110" spans="1:14" s="3" customFormat="1" ht="15.75">
      <c r="A110" s="59"/>
      <c r="B110" s="72" t="s">
        <v>246</v>
      </c>
      <c r="C110" s="72"/>
      <c r="D110" s="72">
        <v>137</v>
      </c>
      <c r="E110" s="97"/>
      <c r="F110" s="97">
        <f>21250/1000-15.59-1.40794</f>
        <v>4.25206</v>
      </c>
      <c r="G110" s="97"/>
      <c r="H110" s="97"/>
      <c r="I110" s="145">
        <f t="shared" si="4"/>
        <v>4.25206</v>
      </c>
      <c r="J110" s="59">
        <f t="shared" si="3"/>
        <v>0.35433833333333337</v>
      </c>
      <c r="K110" s="13"/>
      <c r="L110" s="13"/>
      <c r="M110" s="13"/>
      <c r="N110" s="95"/>
    </row>
    <row r="111" spans="1:14" s="3" customFormat="1" ht="15.75">
      <c r="A111" s="59"/>
      <c r="B111" s="72" t="s">
        <v>126</v>
      </c>
      <c r="C111" s="72"/>
      <c r="D111" s="107" t="s">
        <v>272</v>
      </c>
      <c r="E111" s="97"/>
      <c r="F111" s="97"/>
      <c r="G111" s="97"/>
      <c r="H111" s="97"/>
      <c r="I111" s="145">
        <f t="shared" si="4"/>
        <v>0</v>
      </c>
      <c r="J111" s="59">
        <f t="shared" si="3"/>
        <v>0</v>
      </c>
      <c r="K111" s="93"/>
      <c r="L111" s="13"/>
      <c r="M111" s="93"/>
      <c r="N111" s="95"/>
    </row>
    <row r="112" spans="1:14" s="3" customFormat="1" ht="15.75">
      <c r="A112" s="59"/>
      <c r="B112" s="72" t="s">
        <v>245</v>
      </c>
      <c r="C112" s="72"/>
      <c r="D112" s="72"/>
      <c r="E112" s="97"/>
      <c r="F112" s="97"/>
      <c r="G112" s="97"/>
      <c r="H112" s="97"/>
      <c r="I112" s="145">
        <f t="shared" si="4"/>
        <v>0</v>
      </c>
      <c r="J112" s="59">
        <f t="shared" si="3"/>
        <v>0</v>
      </c>
      <c r="K112" s="13"/>
      <c r="L112" s="13"/>
      <c r="M112" s="13"/>
      <c r="N112" s="95"/>
    </row>
    <row r="113" spans="1:14" s="3" customFormat="1" ht="15.75">
      <c r="A113" s="59"/>
      <c r="B113" s="72" t="s">
        <v>217</v>
      </c>
      <c r="C113" s="72"/>
      <c r="D113" s="72"/>
      <c r="E113" s="97"/>
      <c r="F113" s="97"/>
      <c r="G113" s="97"/>
      <c r="H113" s="97"/>
      <c r="I113" s="145">
        <f t="shared" si="4"/>
        <v>0</v>
      </c>
      <c r="J113" s="59"/>
      <c r="K113" s="13"/>
      <c r="L113" s="13"/>
      <c r="M113" s="13"/>
      <c r="N113" s="95"/>
    </row>
    <row r="114" spans="1:14" s="3" customFormat="1" ht="15.75">
      <c r="A114" s="59"/>
      <c r="B114" s="72" t="s">
        <v>261</v>
      </c>
      <c r="C114" s="72"/>
      <c r="D114" s="72"/>
      <c r="E114" s="97"/>
      <c r="F114" s="97"/>
      <c r="G114" s="97"/>
      <c r="H114" s="97"/>
      <c r="I114" s="145">
        <f t="shared" si="4"/>
        <v>0</v>
      </c>
      <c r="J114" s="59"/>
      <c r="K114" s="13"/>
      <c r="L114" s="13"/>
      <c r="M114" s="13"/>
      <c r="N114" s="95"/>
    </row>
    <row r="115" spans="1:14" s="3" customFormat="1" ht="31.5">
      <c r="A115" s="59"/>
      <c r="B115" s="72" t="s">
        <v>185</v>
      </c>
      <c r="C115" s="107"/>
      <c r="D115" s="107" t="s">
        <v>272</v>
      </c>
      <c r="E115" s="97"/>
      <c r="F115" s="97"/>
      <c r="G115" s="97"/>
      <c r="H115" s="97"/>
      <c r="I115" s="145">
        <f t="shared" si="4"/>
        <v>0</v>
      </c>
      <c r="J115" s="59"/>
      <c r="K115" s="93"/>
      <c r="L115" s="13"/>
      <c r="M115" s="13"/>
      <c r="N115" s="95"/>
    </row>
    <row r="116" spans="1:14" s="3" customFormat="1" ht="15.75">
      <c r="A116" s="59"/>
      <c r="B116" s="72" t="s">
        <v>252</v>
      </c>
      <c r="C116" s="107"/>
      <c r="D116" s="107" t="s">
        <v>272</v>
      </c>
      <c r="E116" s="97">
        <f>5022.4/1000</f>
        <v>5.022399999999999</v>
      </c>
      <c r="F116" s="97">
        <f>(5000+16800)/1000</f>
        <v>21.8</v>
      </c>
      <c r="G116" s="97"/>
      <c r="H116" s="97">
        <f>16800/1000-2.3224+19</f>
        <v>33.4776</v>
      </c>
      <c r="I116" s="145">
        <f t="shared" si="4"/>
        <v>60.300000000000004</v>
      </c>
      <c r="J116" s="59">
        <f>I116/9</f>
        <v>6.7</v>
      </c>
      <c r="K116" s="93"/>
      <c r="L116" s="13"/>
      <c r="M116" s="13"/>
      <c r="N116" s="95"/>
    </row>
    <row r="117" spans="1:14" s="3" customFormat="1" ht="15.75">
      <c r="A117" s="59"/>
      <c r="B117" s="73" t="s">
        <v>215</v>
      </c>
      <c r="C117" s="73"/>
      <c r="D117" s="73"/>
      <c r="E117" s="97"/>
      <c r="F117" s="97"/>
      <c r="G117" s="97"/>
      <c r="H117" s="97"/>
      <c r="I117" s="145">
        <f t="shared" si="4"/>
        <v>0</v>
      </c>
      <c r="J117" s="59">
        <f>I117/9</f>
        <v>0</v>
      </c>
      <c r="K117" s="93"/>
      <c r="L117" s="13"/>
      <c r="M117" s="13"/>
      <c r="N117" s="95"/>
    </row>
    <row r="118" spans="1:14" s="3" customFormat="1" ht="15.75">
      <c r="A118" s="57"/>
      <c r="B118" s="57" t="s">
        <v>132</v>
      </c>
      <c r="C118" s="57">
        <v>290</v>
      </c>
      <c r="D118" s="57"/>
      <c r="E118" s="97">
        <f>SUM(E119:E121)</f>
        <v>10.50666</v>
      </c>
      <c r="F118" s="97">
        <f>SUM(F119:F121)</f>
        <v>6.1</v>
      </c>
      <c r="G118" s="97">
        <f>SUM(G119:G121)</f>
        <v>6.1</v>
      </c>
      <c r="H118" s="97">
        <f>SUM(H119:H121)</f>
        <v>2.2</v>
      </c>
      <c r="I118" s="143">
        <f>SUM(I119:I121)</f>
        <v>24.90666</v>
      </c>
      <c r="J118" s="59">
        <f>I118/12</f>
        <v>2.075555</v>
      </c>
      <c r="K118" s="13"/>
      <c r="L118" s="13"/>
      <c r="M118" s="13"/>
      <c r="N118" s="95"/>
    </row>
    <row r="119" spans="1:14" s="3" customFormat="1" ht="15.75">
      <c r="A119" s="59"/>
      <c r="B119" s="72" t="s">
        <v>133</v>
      </c>
      <c r="C119" s="72"/>
      <c r="D119" s="72">
        <v>143</v>
      </c>
      <c r="E119" s="97">
        <f>10000/1000+0.3</f>
        <v>10.3</v>
      </c>
      <c r="F119" s="97">
        <f>6100/1000</f>
        <v>6.1</v>
      </c>
      <c r="G119" s="97">
        <f>6100/1000</f>
        <v>6.1</v>
      </c>
      <c r="H119" s="97">
        <f>2200/1000</f>
        <v>2.2</v>
      </c>
      <c r="I119" s="143">
        <f>SUM(E119:H119)</f>
        <v>24.7</v>
      </c>
      <c r="J119" s="59">
        <f>I119/12</f>
        <v>2.058333333333333</v>
      </c>
      <c r="K119" s="93"/>
      <c r="L119" s="13"/>
      <c r="M119" s="13"/>
      <c r="N119" s="95"/>
    </row>
    <row r="120" spans="1:14" s="3" customFormat="1" ht="31.5">
      <c r="A120" s="59"/>
      <c r="B120" s="72" t="s">
        <v>254</v>
      </c>
      <c r="C120" s="72"/>
      <c r="D120" s="72">
        <v>143</v>
      </c>
      <c r="E120" s="97">
        <f>506.66/1000-0.3</f>
        <v>0.20666</v>
      </c>
      <c r="F120" s="97"/>
      <c r="G120" s="97"/>
      <c r="H120" s="97"/>
      <c r="I120" s="143">
        <f>SUM(E120:H120)</f>
        <v>0.20666</v>
      </c>
      <c r="J120" s="59"/>
      <c r="K120" s="93"/>
      <c r="L120" s="13"/>
      <c r="M120" s="13"/>
      <c r="N120" s="95"/>
    </row>
    <row r="121" spans="1:14" s="3" customFormat="1" ht="15.75">
      <c r="A121" s="59"/>
      <c r="B121" s="72" t="s">
        <v>134</v>
      </c>
      <c r="C121" s="72"/>
      <c r="D121" s="72"/>
      <c r="E121" s="97"/>
      <c r="F121" s="97"/>
      <c r="G121" s="97"/>
      <c r="H121" s="97"/>
      <c r="I121" s="145">
        <f aca="true" t="shared" si="5" ref="I121:I137">SUM(E121:H121)</f>
        <v>0</v>
      </c>
      <c r="J121" s="59">
        <f aca="true" t="shared" si="6" ref="J121:J127">I121/12</f>
        <v>0</v>
      </c>
      <c r="K121" s="13"/>
      <c r="L121" s="13"/>
      <c r="M121" s="13"/>
      <c r="N121" s="95"/>
    </row>
    <row r="122" spans="1:14" s="3" customFormat="1" ht="15.75">
      <c r="A122" s="57"/>
      <c r="B122" s="57" t="s">
        <v>135</v>
      </c>
      <c r="C122" s="57"/>
      <c r="D122" s="57"/>
      <c r="E122" s="97">
        <f>SUM(E123:E137)</f>
        <v>198.22093999999998</v>
      </c>
      <c r="F122" s="97">
        <f>SUM(F123:F137)</f>
        <v>202.55724999999998</v>
      </c>
      <c r="G122" s="97">
        <f>SUM(G123:G137)</f>
        <v>36.4</v>
      </c>
      <c r="H122" s="97">
        <f>SUM(H123:H137)</f>
        <v>250.3724</v>
      </c>
      <c r="I122" s="143">
        <f>SUM(I123:I137)</f>
        <v>687.5505899999999</v>
      </c>
      <c r="J122" s="59">
        <f t="shared" si="6"/>
        <v>57.2958825</v>
      </c>
      <c r="K122" s="13"/>
      <c r="L122" s="13"/>
      <c r="M122" s="13"/>
      <c r="N122" s="95"/>
    </row>
    <row r="123" spans="1:14" s="3" customFormat="1" ht="15.75">
      <c r="A123" s="59"/>
      <c r="B123" s="72" t="s">
        <v>243</v>
      </c>
      <c r="C123" s="72">
        <v>310</v>
      </c>
      <c r="D123" s="72"/>
      <c r="E123" s="97"/>
      <c r="F123" s="97">
        <f>9000/1000</f>
        <v>9</v>
      </c>
      <c r="G123" s="97"/>
      <c r="H123" s="97"/>
      <c r="I123" s="145">
        <f t="shared" si="5"/>
        <v>9</v>
      </c>
      <c r="J123" s="59">
        <f t="shared" si="6"/>
        <v>0.75</v>
      </c>
      <c r="K123" s="13"/>
      <c r="L123" s="13"/>
      <c r="M123" s="13"/>
      <c r="N123" s="95"/>
    </row>
    <row r="124" spans="1:14" s="3" customFormat="1" ht="15.75">
      <c r="A124" s="59"/>
      <c r="B124" s="72" t="s">
        <v>241</v>
      </c>
      <c r="C124" s="72"/>
      <c r="D124" s="72">
        <v>116</v>
      </c>
      <c r="E124" s="97">
        <f>60000/1000-(5529.06/1000)-54.47094</f>
        <v>0</v>
      </c>
      <c r="F124" s="97">
        <v>18.0576</v>
      </c>
      <c r="G124" s="97">
        <v>5</v>
      </c>
      <c r="H124" s="97">
        <f>40000/1000+24.4424-42</f>
        <v>22.442399999999992</v>
      </c>
      <c r="I124" s="145">
        <f t="shared" si="5"/>
        <v>45.49999999999999</v>
      </c>
      <c r="J124" s="59">
        <f t="shared" si="6"/>
        <v>3.791666666666666</v>
      </c>
      <c r="K124" s="93"/>
      <c r="L124" s="13"/>
      <c r="M124" s="13"/>
      <c r="N124" s="95"/>
    </row>
    <row r="125" spans="1:14" s="3" customFormat="1" ht="15.75">
      <c r="A125" s="59"/>
      <c r="B125" s="72" t="s">
        <v>252</v>
      </c>
      <c r="C125" s="72"/>
      <c r="D125" s="72"/>
      <c r="E125" s="97"/>
      <c r="F125" s="97"/>
      <c r="G125" s="97"/>
      <c r="H125" s="97"/>
      <c r="I125" s="145"/>
      <c r="J125" s="59"/>
      <c r="K125" s="93"/>
      <c r="L125" s="13"/>
      <c r="M125" s="13"/>
      <c r="N125" s="95"/>
    </row>
    <row r="126" spans="1:14" s="3" customFormat="1" ht="15.75">
      <c r="A126" s="59"/>
      <c r="B126" s="72" t="s">
        <v>136</v>
      </c>
      <c r="C126" s="72">
        <v>340</v>
      </c>
      <c r="D126" s="72">
        <v>119</v>
      </c>
      <c r="E126" s="97">
        <f>4200/1000</f>
        <v>4.2</v>
      </c>
      <c r="F126" s="97"/>
      <c r="G126" s="97"/>
      <c r="H126" s="97"/>
      <c r="I126" s="145">
        <f t="shared" si="5"/>
        <v>4.2</v>
      </c>
      <c r="J126" s="59">
        <f t="shared" si="6"/>
        <v>0.35000000000000003</v>
      </c>
      <c r="K126" s="93"/>
      <c r="L126" s="13"/>
      <c r="M126" s="13"/>
      <c r="N126" s="95"/>
    </row>
    <row r="127" spans="1:14" s="3" customFormat="1" ht="15.75">
      <c r="A127" s="59"/>
      <c r="B127" s="72" t="s">
        <v>137</v>
      </c>
      <c r="C127" s="72"/>
      <c r="D127" s="72">
        <v>123</v>
      </c>
      <c r="E127" s="97"/>
      <c r="F127" s="97">
        <f>3900/1000</f>
        <v>3.9</v>
      </c>
      <c r="G127" s="97"/>
      <c r="H127" s="97"/>
      <c r="I127" s="145">
        <f t="shared" si="5"/>
        <v>3.9</v>
      </c>
      <c r="J127" s="59">
        <f t="shared" si="6"/>
        <v>0.325</v>
      </c>
      <c r="K127" s="93"/>
      <c r="L127" s="13"/>
      <c r="M127" s="13"/>
      <c r="N127" s="95"/>
    </row>
    <row r="128" spans="1:14" s="3" customFormat="1" ht="15.75">
      <c r="A128" s="59"/>
      <c r="B128" s="72" t="s">
        <v>181</v>
      </c>
      <c r="C128" s="72"/>
      <c r="D128" s="72">
        <v>120</v>
      </c>
      <c r="E128" s="97">
        <f>123750/1000-17.00906</f>
        <v>106.74094</v>
      </c>
      <c r="F128" s="97">
        <f>133750/1000+1.40794+2.65174</f>
        <v>137.80968</v>
      </c>
      <c r="G128" s="97">
        <f>31400/1000</f>
        <v>31.4</v>
      </c>
      <c r="H128" s="97">
        <f>167500/1000-13.72</f>
        <v>153.78</v>
      </c>
      <c r="I128" s="145">
        <f t="shared" si="5"/>
        <v>429.73061999999993</v>
      </c>
      <c r="J128" s="59">
        <f>I128/9</f>
        <v>47.74784666666666</v>
      </c>
      <c r="K128" s="93"/>
      <c r="L128" s="93"/>
      <c r="M128" s="13"/>
      <c r="N128" s="95"/>
    </row>
    <row r="129" spans="1:14" s="3" customFormat="1" ht="15.75">
      <c r="A129" s="59"/>
      <c r="B129" s="72" t="s">
        <v>182</v>
      </c>
      <c r="C129" s="72"/>
      <c r="D129" s="72">
        <v>121</v>
      </c>
      <c r="E129" s="97"/>
      <c r="F129" s="97"/>
      <c r="G129" s="97"/>
      <c r="H129" s="97"/>
      <c r="I129" s="145">
        <f t="shared" si="5"/>
        <v>0</v>
      </c>
      <c r="J129" s="59">
        <f aca="true" t="shared" si="7" ref="J129:J137">I129/12</f>
        <v>0</v>
      </c>
      <c r="K129" s="93"/>
      <c r="L129" s="13"/>
      <c r="M129" s="13"/>
      <c r="N129" s="95"/>
    </row>
    <row r="130" spans="1:14" s="3" customFormat="1" ht="15.75">
      <c r="A130" s="59"/>
      <c r="B130" s="72" t="s">
        <v>255</v>
      </c>
      <c r="C130" s="72"/>
      <c r="D130" s="72">
        <v>123</v>
      </c>
      <c r="E130" s="97">
        <f>(4000+5000)/1000</f>
        <v>9</v>
      </c>
      <c r="F130" s="97">
        <f>10000/1000+15.59</f>
        <v>25.59</v>
      </c>
      <c r="G130" s="97"/>
      <c r="H130" s="97">
        <f>(10000+19050)/1000+16.0424+6.0576+23</f>
        <v>74.15</v>
      </c>
      <c r="I130" s="145">
        <f t="shared" si="5"/>
        <v>108.74000000000001</v>
      </c>
      <c r="J130" s="59">
        <f t="shared" si="7"/>
        <v>9.061666666666667</v>
      </c>
      <c r="K130" s="93"/>
      <c r="L130" s="13"/>
      <c r="M130" s="13"/>
      <c r="N130" s="95"/>
    </row>
    <row r="131" spans="1:14" s="3" customFormat="1" ht="15.75">
      <c r="A131" s="59"/>
      <c r="B131" s="72" t="s">
        <v>186</v>
      </c>
      <c r="C131" s="72"/>
      <c r="D131" s="72">
        <v>112</v>
      </c>
      <c r="E131" s="97">
        <f>6800/1000+71.48</f>
        <v>78.28</v>
      </c>
      <c r="F131" s="97">
        <v>8.19997</v>
      </c>
      <c r="G131" s="97"/>
      <c r="H131" s="97"/>
      <c r="I131" s="145">
        <f t="shared" si="5"/>
        <v>86.47997000000001</v>
      </c>
      <c r="J131" s="59">
        <f t="shared" si="7"/>
        <v>7.206664166666667</v>
      </c>
      <c r="K131" s="93"/>
      <c r="L131" s="13"/>
      <c r="M131" s="13"/>
      <c r="N131" s="95"/>
    </row>
    <row r="132" spans="1:14" s="3" customFormat="1" ht="15.75" hidden="1">
      <c r="A132" s="59"/>
      <c r="B132" s="72" t="s">
        <v>187</v>
      </c>
      <c r="C132" s="72"/>
      <c r="D132" s="72"/>
      <c r="E132" s="97"/>
      <c r="F132" s="97"/>
      <c r="G132" s="97"/>
      <c r="H132" s="97"/>
      <c r="I132" s="145">
        <f t="shared" si="5"/>
        <v>0</v>
      </c>
      <c r="J132" s="59">
        <f t="shared" si="7"/>
        <v>0</v>
      </c>
      <c r="K132" s="93"/>
      <c r="L132" s="13"/>
      <c r="M132" s="13"/>
      <c r="N132" s="95"/>
    </row>
    <row r="133" spans="1:14" s="3" customFormat="1" ht="15.75" hidden="1">
      <c r="A133" s="59"/>
      <c r="B133" s="72" t="s">
        <v>242</v>
      </c>
      <c r="C133" s="72"/>
      <c r="D133" s="72"/>
      <c r="E133" s="97"/>
      <c r="F133" s="97"/>
      <c r="G133" s="97"/>
      <c r="H133" s="97"/>
      <c r="I133" s="145">
        <f t="shared" si="5"/>
        <v>0</v>
      </c>
      <c r="J133" s="59"/>
      <c r="K133" s="93"/>
      <c r="L133" s="13"/>
      <c r="M133" s="13"/>
      <c r="N133" s="95"/>
    </row>
    <row r="134" spans="1:14" s="3" customFormat="1" ht="15.75" hidden="1">
      <c r="A134" s="59"/>
      <c r="B134" s="72" t="s">
        <v>138</v>
      </c>
      <c r="C134" s="72"/>
      <c r="D134" s="72"/>
      <c r="E134" s="97"/>
      <c r="F134" s="97"/>
      <c r="G134" s="97"/>
      <c r="H134" s="97"/>
      <c r="I134" s="145">
        <f t="shared" si="5"/>
        <v>0</v>
      </c>
      <c r="J134" s="59">
        <f t="shared" si="7"/>
        <v>0</v>
      </c>
      <c r="K134" s="93"/>
      <c r="L134" s="13"/>
      <c r="M134" s="13"/>
      <c r="N134" s="95"/>
    </row>
    <row r="135" spans="1:14" s="3" customFormat="1" ht="15.75">
      <c r="A135" s="59"/>
      <c r="B135" s="59" t="s">
        <v>139</v>
      </c>
      <c r="C135" s="59"/>
      <c r="D135" s="59"/>
      <c r="E135" s="97"/>
      <c r="F135" s="97"/>
      <c r="G135" s="97"/>
      <c r="H135" s="97"/>
      <c r="I135" s="145">
        <f t="shared" si="5"/>
        <v>0</v>
      </c>
      <c r="J135" s="59">
        <f t="shared" si="7"/>
        <v>0</v>
      </c>
      <c r="K135" s="13"/>
      <c r="L135" s="13"/>
      <c r="M135" s="13"/>
      <c r="N135" s="95"/>
    </row>
    <row r="136" spans="1:14" s="3" customFormat="1" ht="15.75">
      <c r="A136" s="59"/>
      <c r="B136" s="59" t="s">
        <v>140</v>
      </c>
      <c r="C136" s="59"/>
      <c r="D136" s="59"/>
      <c r="E136" s="97"/>
      <c r="F136" s="97"/>
      <c r="G136" s="97"/>
      <c r="H136" s="97"/>
      <c r="I136" s="145">
        <f t="shared" si="5"/>
        <v>0</v>
      </c>
      <c r="J136" s="59">
        <f t="shared" si="7"/>
        <v>0</v>
      </c>
      <c r="K136" s="13"/>
      <c r="L136" s="13"/>
      <c r="M136" s="13"/>
      <c r="N136" s="95"/>
    </row>
    <row r="137" spans="1:14" s="3" customFormat="1" ht="15.75">
      <c r="A137" s="59"/>
      <c r="B137" s="59" t="s">
        <v>141</v>
      </c>
      <c r="C137" s="59"/>
      <c r="D137" s="59"/>
      <c r="E137" s="97"/>
      <c r="F137" s="97"/>
      <c r="G137" s="97"/>
      <c r="H137" s="97"/>
      <c r="I137" s="145">
        <f t="shared" si="5"/>
        <v>0</v>
      </c>
      <c r="J137" s="59">
        <f t="shared" si="7"/>
        <v>0</v>
      </c>
      <c r="K137" s="13"/>
      <c r="L137" s="13"/>
      <c r="M137" s="13"/>
      <c r="N137" s="95"/>
    </row>
    <row r="138" spans="1:15" s="3" customFormat="1" ht="15.75">
      <c r="A138" s="59"/>
      <c r="B138" s="74" t="s">
        <v>236</v>
      </c>
      <c r="C138" s="74"/>
      <c r="D138" s="74"/>
      <c r="E138" s="143">
        <f>E71+E73-E80</f>
        <v>0</v>
      </c>
      <c r="F138" s="143">
        <f>F71+F73-F80</f>
        <v>0</v>
      </c>
      <c r="G138" s="143">
        <f>G71+G73-G80</f>
        <v>0</v>
      </c>
      <c r="H138" s="143">
        <f>H71+H73-H80</f>
        <v>0</v>
      </c>
      <c r="I138" s="143">
        <f>I71+I73-I80</f>
        <v>0</v>
      </c>
      <c r="J138" s="59"/>
      <c r="K138" s="94"/>
      <c r="L138" s="94"/>
      <c r="M138" s="94"/>
      <c r="N138" s="95"/>
      <c r="O138" s="95"/>
    </row>
    <row r="139" spans="1:13" s="3" customFormat="1" ht="15.75">
      <c r="A139" s="13"/>
      <c r="B139" s="76" t="s">
        <v>142</v>
      </c>
      <c r="C139" s="76"/>
      <c r="D139" s="76"/>
      <c r="E139" s="13"/>
      <c r="F139" s="13"/>
      <c r="G139" s="13"/>
      <c r="H139" s="13"/>
      <c r="I139" s="20"/>
      <c r="J139" s="13"/>
      <c r="K139" s="13"/>
      <c r="L139" s="13"/>
      <c r="M139" s="13"/>
    </row>
    <row r="140" spans="1:13" s="3" customFormat="1" ht="15.75">
      <c r="A140" s="13"/>
      <c r="B140" s="75"/>
      <c r="C140" s="75"/>
      <c r="D140" s="75"/>
      <c r="E140" s="13"/>
      <c r="F140" s="13"/>
      <c r="G140" s="13"/>
      <c r="H140" s="13"/>
      <c r="I140" s="20"/>
      <c r="J140" s="13"/>
      <c r="K140" s="13"/>
      <c r="L140" s="13"/>
      <c r="M140" s="13"/>
    </row>
    <row r="141" spans="1:13" s="3" customFormat="1" ht="31.5">
      <c r="A141" s="13"/>
      <c r="B141" s="77" t="s">
        <v>143</v>
      </c>
      <c r="C141" s="77"/>
      <c r="D141" s="77"/>
      <c r="E141" s="77" t="s">
        <v>144</v>
      </c>
      <c r="F141" s="13"/>
      <c r="G141" s="13"/>
      <c r="H141" s="13"/>
      <c r="I141" s="20"/>
      <c r="J141" s="13"/>
      <c r="K141" s="13"/>
      <c r="L141" s="13"/>
      <c r="M141" s="13"/>
    </row>
    <row r="142" spans="1:13" s="3" customFormat="1" ht="15.75">
      <c r="A142" s="13"/>
      <c r="B142" s="78" t="s">
        <v>191</v>
      </c>
      <c r="C142" s="78"/>
      <c r="D142" s="78"/>
      <c r="E142" s="79"/>
      <c r="F142" s="13"/>
      <c r="G142" s="13"/>
      <c r="H142" s="13"/>
      <c r="I142" s="20"/>
      <c r="J142" s="13"/>
      <c r="K142" s="13"/>
      <c r="L142" s="13"/>
      <c r="M142" s="13"/>
    </row>
    <row r="143" spans="1:13" s="3" customFormat="1" ht="13.5" customHeight="1">
      <c r="A143" s="13"/>
      <c r="B143" s="78"/>
      <c r="C143" s="78"/>
      <c r="D143" s="78"/>
      <c r="E143" s="80"/>
      <c r="F143" s="13"/>
      <c r="G143" s="13"/>
      <c r="H143" s="13"/>
      <c r="I143" s="20"/>
      <c r="J143" s="13"/>
      <c r="K143" s="13"/>
      <c r="L143" s="13"/>
      <c r="M143" s="13"/>
    </row>
    <row r="144" spans="1:13" s="3" customFormat="1" ht="15.75">
      <c r="A144" s="13"/>
      <c r="B144" s="78"/>
      <c r="C144" s="78"/>
      <c r="D144" s="78"/>
      <c r="E144" s="80"/>
      <c r="F144" s="13"/>
      <c r="G144" s="13"/>
      <c r="H144" s="13"/>
      <c r="I144" s="20"/>
      <c r="J144" s="13"/>
      <c r="K144" s="13"/>
      <c r="L144" s="13"/>
      <c r="M144" s="13"/>
    </row>
    <row r="145" spans="1:13" s="3" customFormat="1" ht="33" customHeight="1">
      <c r="A145" s="13"/>
      <c r="B145" s="236" t="s">
        <v>145</v>
      </c>
      <c r="C145" s="236"/>
      <c r="D145" s="236"/>
      <c r="E145" s="236"/>
      <c r="F145" s="13"/>
      <c r="G145" s="13"/>
      <c r="H145" s="13"/>
      <c r="I145" s="20"/>
      <c r="J145" s="13"/>
      <c r="K145" s="13"/>
      <c r="L145" s="13"/>
      <c r="M145" s="13"/>
    </row>
    <row r="146" spans="1:13" s="3" customFormat="1" ht="15.75">
      <c r="A146" s="13"/>
      <c r="B146" s="75"/>
      <c r="C146" s="75"/>
      <c r="D146" s="75"/>
      <c r="E146" s="13"/>
      <c r="F146" s="13"/>
      <c r="G146" s="13"/>
      <c r="H146" s="13"/>
      <c r="I146" s="20"/>
      <c r="J146" s="13"/>
      <c r="K146" s="13"/>
      <c r="L146" s="13"/>
      <c r="M146" s="13"/>
    </row>
    <row r="147" spans="1:13" s="3" customFormat="1" ht="15.75">
      <c r="A147" s="13"/>
      <c r="B147" s="75"/>
      <c r="C147" s="75"/>
      <c r="D147" s="75"/>
      <c r="E147" s="13"/>
      <c r="F147" s="13"/>
      <c r="G147" s="13"/>
      <c r="H147" s="13"/>
      <c r="I147" s="20"/>
      <c r="J147" s="13"/>
      <c r="K147" s="13"/>
      <c r="L147" s="13"/>
      <c r="M147" s="13"/>
    </row>
    <row r="148" spans="1:13" s="3" customFormat="1" ht="63">
      <c r="A148" s="13"/>
      <c r="B148" s="75" t="s">
        <v>237</v>
      </c>
      <c r="C148" s="75"/>
      <c r="D148" s="75"/>
      <c r="E148" s="35"/>
      <c r="F148" s="39"/>
      <c r="G148" s="36" t="s">
        <v>171</v>
      </c>
      <c r="H148" s="36"/>
      <c r="I148" s="36"/>
      <c r="J148" s="36"/>
      <c r="K148" s="36"/>
      <c r="L148" s="13"/>
      <c r="M148" s="13"/>
    </row>
    <row r="149" spans="1:13" s="3" customFormat="1" ht="17.25" customHeight="1">
      <c r="A149" s="13"/>
      <c r="B149" s="82" t="s">
        <v>1</v>
      </c>
      <c r="C149" s="82"/>
      <c r="D149" s="82"/>
      <c r="E149" s="235" t="s">
        <v>239</v>
      </c>
      <c r="F149" s="235"/>
      <c r="G149" s="13"/>
      <c r="H149" s="13" t="s">
        <v>164</v>
      </c>
      <c r="I149" s="13"/>
      <c r="J149" s="13"/>
      <c r="K149" s="13"/>
      <c r="L149" s="13"/>
      <c r="M149" s="13"/>
    </row>
    <row r="150" spans="1:13" s="3" customFormat="1" ht="17.25" customHeight="1">
      <c r="A150" s="13"/>
      <c r="B150" s="82"/>
      <c r="C150" s="82"/>
      <c r="D150" s="82"/>
      <c r="E150" s="13"/>
      <c r="F150" s="13"/>
      <c r="G150" s="13"/>
      <c r="H150" s="13"/>
      <c r="I150" s="13" t="s">
        <v>223</v>
      </c>
      <c r="J150" s="13"/>
      <c r="K150" s="13"/>
      <c r="L150" s="75"/>
      <c r="M150" s="13"/>
    </row>
    <row r="151" spans="1:13" s="3" customFormat="1" ht="17.25" customHeight="1">
      <c r="A151" s="13"/>
      <c r="B151" s="82"/>
      <c r="C151" s="82"/>
      <c r="D151" s="82"/>
      <c r="E151" s="13"/>
      <c r="F151" s="13"/>
      <c r="G151" s="13"/>
      <c r="H151" s="13"/>
      <c r="I151" s="75" t="s">
        <v>163</v>
      </c>
      <c r="J151" s="13"/>
      <c r="K151" s="13"/>
      <c r="L151" s="75"/>
      <c r="M151" s="13"/>
    </row>
    <row r="152" spans="1:13" s="3" customFormat="1" ht="17.25" customHeight="1">
      <c r="A152" s="13"/>
      <c r="B152" s="82"/>
      <c r="C152" s="82"/>
      <c r="D152" s="82"/>
      <c r="E152" s="13"/>
      <c r="F152" s="13"/>
      <c r="G152" s="13"/>
      <c r="H152" s="13"/>
      <c r="I152" s="13"/>
      <c r="J152" s="13"/>
      <c r="K152" s="13"/>
      <c r="L152" s="75"/>
      <c r="M152" s="13"/>
    </row>
    <row r="153" spans="1:13" s="3" customFormat="1" ht="15.75">
      <c r="A153" s="13"/>
      <c r="B153" s="75" t="s">
        <v>238</v>
      </c>
      <c r="C153" s="75"/>
      <c r="D153" s="75"/>
      <c r="E153" s="13"/>
      <c r="F153" s="39"/>
      <c r="G153" s="37" t="s">
        <v>172</v>
      </c>
      <c r="H153" s="37"/>
      <c r="I153" s="20"/>
      <c r="J153" s="13"/>
      <c r="K153" s="13"/>
      <c r="L153" s="13"/>
      <c r="M153" s="13"/>
    </row>
    <row r="154" spans="1:13" s="3" customFormat="1" ht="18.75" customHeight="1">
      <c r="A154" s="13"/>
      <c r="B154" s="81" t="s">
        <v>162</v>
      </c>
      <c r="C154" s="81"/>
      <c r="D154" s="81"/>
      <c r="E154" s="235" t="s">
        <v>239</v>
      </c>
      <c r="F154" s="235"/>
      <c r="G154" s="13"/>
      <c r="H154" s="13" t="s">
        <v>164</v>
      </c>
      <c r="I154" s="13"/>
      <c r="J154" s="13"/>
      <c r="K154" s="13"/>
      <c r="L154" s="13"/>
      <c r="M154" s="13"/>
    </row>
    <row r="155" spans="1:13" s="3" customFormat="1" ht="18" customHeight="1">
      <c r="A155" s="13"/>
      <c r="B155" s="75" t="s">
        <v>146</v>
      </c>
      <c r="C155" s="75"/>
      <c r="D155" s="75"/>
      <c r="E155" s="13"/>
      <c r="F155" s="13"/>
      <c r="G155" s="13"/>
      <c r="H155" s="13"/>
      <c r="I155" s="13" t="s">
        <v>223</v>
      </c>
      <c r="J155" s="13"/>
      <c r="K155" s="13"/>
      <c r="L155" s="13"/>
      <c r="M155" s="13"/>
    </row>
    <row r="156" ht="110.25">
      <c r="I156" s="75" t="s">
        <v>163</v>
      </c>
    </row>
    <row r="261" ht="15"/>
    <row r="262" ht="15"/>
    <row r="263" ht="15"/>
    <row r="264" ht="15"/>
    <row r="265" ht="15"/>
    <row r="266" ht="15"/>
    <row r="267" ht="15"/>
    <row r="268" ht="15"/>
    <row r="269" ht="15"/>
    <row r="270" ht="15"/>
    <row r="271" ht="15"/>
    <row r="272" ht="15"/>
    <row r="273" ht="15"/>
  </sheetData>
  <sheetProtection/>
  <mergeCells count="66">
    <mergeCell ref="E149:F149"/>
    <mergeCell ref="E154:F154"/>
    <mergeCell ref="B145:E145"/>
    <mergeCell ref="I57:K57"/>
    <mergeCell ref="G57:H57"/>
    <mergeCell ref="E57:F57"/>
    <mergeCell ref="E56:F56"/>
    <mergeCell ref="I59:K59"/>
    <mergeCell ref="G59:H59"/>
    <mergeCell ref="B26:B28"/>
    <mergeCell ref="E59:F59"/>
    <mergeCell ref="I58:K58"/>
    <mergeCell ref="G58:H58"/>
    <mergeCell ref="E58:F58"/>
    <mergeCell ref="E50:F50"/>
    <mergeCell ref="G50:I50"/>
    <mergeCell ref="E26:F26"/>
    <mergeCell ref="E41:F41"/>
    <mergeCell ref="G41:I41"/>
    <mergeCell ref="E51:F51"/>
    <mergeCell ref="G51:I51"/>
    <mergeCell ref="G47:I47"/>
    <mergeCell ref="E27:F27"/>
    <mergeCell ref="E43:F43"/>
    <mergeCell ref="E40:F40"/>
    <mergeCell ref="G40:I40"/>
    <mergeCell ref="E48:F48"/>
    <mergeCell ref="G48:I48"/>
    <mergeCell ref="G43:I43"/>
    <mergeCell ref="E44:F44"/>
    <mergeCell ref="G44:I44"/>
    <mergeCell ref="G54:H54"/>
    <mergeCell ref="I54:K54"/>
    <mergeCell ref="B52:L52"/>
    <mergeCell ref="E46:F46"/>
    <mergeCell ref="G46:I46"/>
    <mergeCell ref="E47:F47"/>
    <mergeCell ref="E45:F45"/>
    <mergeCell ref="E53:F53"/>
    <mergeCell ref="G53:H53"/>
    <mergeCell ref="I53:K53"/>
    <mergeCell ref="G56:H56"/>
    <mergeCell ref="I56:K56"/>
    <mergeCell ref="B55:L55"/>
    <mergeCell ref="B49:L49"/>
    <mergeCell ref="E54:F54"/>
    <mergeCell ref="G26:L26"/>
    <mergeCell ref="G27:I27"/>
    <mergeCell ref="G29:I29"/>
    <mergeCell ref="G45:I45"/>
    <mergeCell ref="H32:I32"/>
    <mergeCell ref="B33:L33"/>
    <mergeCell ref="B34:L34"/>
    <mergeCell ref="G35:I35"/>
    <mergeCell ref="G36:I36"/>
    <mergeCell ref="E42:F42"/>
    <mergeCell ref="G42:I42"/>
    <mergeCell ref="L27:L28"/>
    <mergeCell ref="B38:L38"/>
    <mergeCell ref="G37:I37"/>
    <mergeCell ref="H31:I31"/>
    <mergeCell ref="K27:K28"/>
    <mergeCell ref="H30:I30"/>
    <mergeCell ref="H28:I28"/>
    <mergeCell ref="E39:F39"/>
    <mergeCell ref="G39:I39"/>
  </mergeCells>
  <printOptions/>
  <pageMargins left="0.7086614173228347" right="0.1968503937007874" top="0.5511811023622047" bottom="0.35433070866141736" header="0.31496062992125984" footer="0.31496062992125984"/>
  <pageSetup horizontalDpi="600" verticalDpi="600" orientation="portrait" paperSize="9" scale="70" r:id="rId3"/>
  <rowBreaks count="1" manualBreakCount="1">
    <brk id="121" max="255" man="1"/>
  </rowBreaks>
  <legacyDrawing r:id="rId2"/>
</worksheet>
</file>

<file path=xl/worksheets/sheet6.xml><?xml version="1.0" encoding="utf-8"?>
<worksheet xmlns="http://schemas.openxmlformats.org/spreadsheetml/2006/main" xmlns:r="http://schemas.openxmlformats.org/officeDocument/2006/relationships">
  <dimension ref="A1:O156"/>
  <sheetViews>
    <sheetView zoomScalePageLayoutView="0" workbookViewId="0" topLeftCell="A97">
      <selection activeCell="G116" sqref="G116"/>
    </sheetView>
  </sheetViews>
  <sheetFormatPr defaultColWidth="9.00390625" defaultRowHeight="12.75"/>
  <cols>
    <col min="1" max="1" width="6.25390625" style="17" customWidth="1"/>
    <col min="2" max="2" width="59.75390625" style="17" customWidth="1"/>
    <col min="3" max="3" width="11.00390625" style="17" customWidth="1"/>
    <col min="4" max="4" width="13.375" style="17" customWidth="1"/>
    <col min="5" max="5" width="14.75390625" style="17" customWidth="1"/>
    <col min="6" max="9" width="14.00390625" style="17" customWidth="1"/>
    <col min="10" max="10" width="11.25390625" style="17" hidden="1" customWidth="1"/>
    <col min="11" max="11" width="13.125" style="17" bestFit="1" customWidth="1"/>
    <col min="12" max="12" width="12.25390625" style="17" customWidth="1"/>
    <col min="13" max="13" width="13.125" style="17" bestFit="1" customWidth="1"/>
    <col min="14" max="14" width="12.00390625" style="0" customWidth="1"/>
    <col min="15" max="15" width="11.75390625" style="0" bestFit="1" customWidth="1"/>
  </cols>
  <sheetData>
    <row r="1" spans="1:13" s="3" customFormat="1" ht="15.75">
      <c r="A1" s="13"/>
      <c r="B1" s="54"/>
      <c r="C1" s="54"/>
      <c r="D1" s="54"/>
      <c r="E1" s="13"/>
      <c r="F1" s="13"/>
      <c r="G1" s="13"/>
      <c r="H1" s="13"/>
      <c r="I1" s="20"/>
      <c r="J1" s="13"/>
      <c r="K1" s="13"/>
      <c r="L1" s="13"/>
      <c r="M1" s="13"/>
    </row>
    <row r="2" spans="1:13" s="3" customFormat="1" ht="15.75" hidden="1">
      <c r="A2" s="13"/>
      <c r="B2" s="13"/>
      <c r="C2" s="13"/>
      <c r="D2" s="13"/>
      <c r="E2" s="13"/>
      <c r="F2" s="13"/>
      <c r="G2" s="13"/>
      <c r="H2" s="13"/>
      <c r="I2" s="20"/>
      <c r="J2" s="13"/>
      <c r="K2" s="13"/>
      <c r="L2" s="13"/>
      <c r="M2" s="13"/>
    </row>
    <row r="3" spans="1:13" s="3" customFormat="1" ht="15.75" hidden="1">
      <c r="A3" s="13"/>
      <c r="B3" s="30"/>
      <c r="C3" s="30"/>
      <c r="D3" s="30"/>
      <c r="E3" s="13"/>
      <c r="F3" s="13"/>
      <c r="G3" s="13"/>
      <c r="H3" s="13"/>
      <c r="I3" s="20"/>
      <c r="J3" s="13"/>
      <c r="K3" s="13"/>
      <c r="L3" s="13"/>
      <c r="M3" s="13"/>
    </row>
    <row r="4" spans="1:13" s="3" customFormat="1" ht="15.75" hidden="1">
      <c r="A4" s="13"/>
      <c r="B4" s="13"/>
      <c r="C4" s="13"/>
      <c r="D4" s="13"/>
      <c r="E4" s="13"/>
      <c r="F4" s="13"/>
      <c r="G4" s="13"/>
      <c r="H4" s="13"/>
      <c r="I4" s="20"/>
      <c r="J4" s="13"/>
      <c r="K4" s="13"/>
      <c r="L4" s="13"/>
      <c r="M4" s="13"/>
    </row>
    <row r="5" spans="1:13" s="3" customFormat="1" ht="15.75" hidden="1">
      <c r="A5" s="13"/>
      <c r="B5" s="13"/>
      <c r="C5" s="13"/>
      <c r="D5" s="13"/>
      <c r="E5" s="13"/>
      <c r="F5" s="13"/>
      <c r="G5" s="13"/>
      <c r="H5" s="13"/>
      <c r="I5" s="20"/>
      <c r="J5" s="13"/>
      <c r="K5" s="13"/>
      <c r="L5" s="13"/>
      <c r="M5" s="13"/>
    </row>
    <row r="6" spans="1:13" s="3" customFormat="1" ht="90.75" customHeight="1" hidden="1">
      <c r="A6" s="13"/>
      <c r="B6" s="13"/>
      <c r="C6" s="13"/>
      <c r="D6" s="13"/>
      <c r="E6" s="13"/>
      <c r="F6" s="13"/>
      <c r="G6" s="13"/>
      <c r="H6" s="13"/>
      <c r="I6" s="20"/>
      <c r="J6" s="13"/>
      <c r="K6" s="13"/>
      <c r="L6" s="13"/>
      <c r="M6" s="13"/>
    </row>
    <row r="7" spans="1:13" s="3" customFormat="1" ht="15.75" hidden="1">
      <c r="A7" s="13"/>
      <c r="B7" s="13"/>
      <c r="C7" s="13"/>
      <c r="D7" s="13"/>
      <c r="E7" s="13"/>
      <c r="F7" s="13"/>
      <c r="G7" s="13"/>
      <c r="H7" s="13"/>
      <c r="I7" s="20"/>
      <c r="J7" s="13"/>
      <c r="K7" s="13"/>
      <c r="L7" s="13"/>
      <c r="M7" s="13"/>
    </row>
    <row r="8" spans="1:13" s="3" customFormat="1" ht="15.75" hidden="1">
      <c r="A8" s="13"/>
      <c r="B8" s="13"/>
      <c r="C8" s="13"/>
      <c r="D8" s="13"/>
      <c r="E8" s="13"/>
      <c r="F8" s="13"/>
      <c r="G8" s="13"/>
      <c r="H8" s="13"/>
      <c r="I8" s="20"/>
      <c r="J8" s="13"/>
      <c r="K8" s="13"/>
      <c r="L8" s="13"/>
      <c r="M8" s="13"/>
    </row>
    <row r="9" spans="1:13" s="3" customFormat="1" ht="15.75" hidden="1">
      <c r="A9" s="13"/>
      <c r="B9" s="13"/>
      <c r="C9" s="13"/>
      <c r="D9" s="13"/>
      <c r="E9" s="13"/>
      <c r="F9" s="13"/>
      <c r="G9" s="13"/>
      <c r="H9" s="13"/>
      <c r="I9" s="20"/>
      <c r="J9" s="13"/>
      <c r="K9" s="13"/>
      <c r="L9" s="13"/>
      <c r="M9" s="13"/>
    </row>
    <row r="10" spans="1:13" s="3" customFormat="1" ht="42.75" customHeight="1" hidden="1">
      <c r="A10" s="13"/>
      <c r="B10" s="13"/>
      <c r="C10" s="13"/>
      <c r="D10" s="13"/>
      <c r="E10" s="13"/>
      <c r="F10" s="13"/>
      <c r="G10" s="13"/>
      <c r="H10" s="13"/>
      <c r="I10" s="20"/>
      <c r="J10" s="13"/>
      <c r="K10" s="13"/>
      <c r="L10" s="13"/>
      <c r="M10" s="13"/>
    </row>
    <row r="11" spans="1:13" s="3" customFormat="1" ht="46.5" customHeight="1" hidden="1">
      <c r="A11" s="13"/>
      <c r="B11" s="13"/>
      <c r="C11" s="13"/>
      <c r="D11" s="13"/>
      <c r="E11" s="13"/>
      <c r="F11" s="13"/>
      <c r="G11" s="13"/>
      <c r="H11" s="13"/>
      <c r="I11" s="20"/>
      <c r="J11" s="13"/>
      <c r="K11" s="13"/>
      <c r="L11" s="13"/>
      <c r="M11" s="13"/>
    </row>
    <row r="12" spans="1:13" s="3" customFormat="1" ht="39.75" customHeight="1" hidden="1">
      <c r="A12" s="13"/>
      <c r="B12" s="13"/>
      <c r="C12" s="13"/>
      <c r="D12" s="13"/>
      <c r="E12" s="13"/>
      <c r="F12" s="13"/>
      <c r="G12" s="13"/>
      <c r="H12" s="13"/>
      <c r="I12" s="20"/>
      <c r="J12" s="13"/>
      <c r="K12" s="13"/>
      <c r="L12" s="13"/>
      <c r="M12" s="13"/>
    </row>
    <row r="13" spans="1:13" s="3" customFormat="1" ht="15.75" hidden="1">
      <c r="A13" s="13"/>
      <c r="B13" s="13"/>
      <c r="C13" s="13"/>
      <c r="D13" s="13"/>
      <c r="E13" s="13"/>
      <c r="F13" s="13"/>
      <c r="G13" s="13"/>
      <c r="H13" s="13"/>
      <c r="I13" s="20"/>
      <c r="J13" s="13"/>
      <c r="K13" s="13"/>
      <c r="L13" s="13"/>
      <c r="M13" s="13"/>
    </row>
    <row r="14" spans="1:13" s="3" customFormat="1" ht="15.75" hidden="1">
      <c r="A14" s="13"/>
      <c r="B14" s="13"/>
      <c r="C14" s="13"/>
      <c r="D14" s="13"/>
      <c r="E14" s="13"/>
      <c r="F14" s="13"/>
      <c r="G14" s="13"/>
      <c r="H14" s="13"/>
      <c r="I14" s="20"/>
      <c r="J14" s="13"/>
      <c r="K14" s="13"/>
      <c r="L14" s="13"/>
      <c r="M14" s="13"/>
    </row>
    <row r="15" spans="1:13" s="3" customFormat="1" ht="15.75" hidden="1">
      <c r="A15" s="13"/>
      <c r="B15" s="13"/>
      <c r="C15" s="13"/>
      <c r="D15" s="13"/>
      <c r="E15" s="13"/>
      <c r="F15" s="13"/>
      <c r="G15" s="13"/>
      <c r="H15" s="13"/>
      <c r="I15" s="20"/>
      <c r="J15" s="13"/>
      <c r="K15" s="13"/>
      <c r="L15" s="13"/>
      <c r="M15" s="13"/>
    </row>
    <row r="16" spans="1:13" s="3" customFormat="1" ht="15.75" hidden="1">
      <c r="A16" s="13"/>
      <c r="B16" s="13"/>
      <c r="C16" s="13"/>
      <c r="D16" s="13"/>
      <c r="E16" s="13"/>
      <c r="F16" s="13"/>
      <c r="G16" s="13"/>
      <c r="H16" s="13"/>
      <c r="I16" s="20"/>
      <c r="J16" s="13"/>
      <c r="K16" s="13"/>
      <c r="L16" s="13"/>
      <c r="M16" s="13"/>
    </row>
    <row r="17" spans="1:13" s="3" customFormat="1" ht="36" customHeight="1" hidden="1">
      <c r="A17" s="13"/>
      <c r="B17" s="13"/>
      <c r="C17" s="13"/>
      <c r="D17" s="13"/>
      <c r="E17" s="13"/>
      <c r="F17" s="13"/>
      <c r="G17" s="13"/>
      <c r="H17" s="13"/>
      <c r="I17" s="20"/>
      <c r="J17" s="13"/>
      <c r="K17" s="13"/>
      <c r="L17" s="13"/>
      <c r="M17" s="13"/>
    </row>
    <row r="18" spans="1:13" s="3" customFormat="1" ht="68.25" customHeight="1" hidden="1">
      <c r="A18" s="13"/>
      <c r="B18" s="13"/>
      <c r="C18" s="13"/>
      <c r="D18" s="13"/>
      <c r="E18" s="13"/>
      <c r="F18" s="13"/>
      <c r="G18" s="13"/>
      <c r="H18" s="13"/>
      <c r="I18" s="20"/>
      <c r="J18" s="13"/>
      <c r="K18" s="13"/>
      <c r="L18" s="13"/>
      <c r="M18" s="13"/>
    </row>
    <row r="19" spans="1:13" s="3" customFormat="1" ht="15.75" hidden="1">
      <c r="A19" s="13"/>
      <c r="B19" s="13"/>
      <c r="C19" s="13"/>
      <c r="D19" s="13"/>
      <c r="E19" s="13"/>
      <c r="F19" s="13"/>
      <c r="G19" s="13"/>
      <c r="H19" s="13"/>
      <c r="I19" s="20"/>
      <c r="J19" s="13"/>
      <c r="K19" s="13"/>
      <c r="L19" s="13"/>
      <c r="M19" s="13"/>
    </row>
    <row r="20" spans="1:13" s="3" customFormat="1" ht="15.75" hidden="1">
      <c r="A20" s="13"/>
      <c r="B20" s="13"/>
      <c r="C20" s="13"/>
      <c r="D20" s="13"/>
      <c r="E20" s="13"/>
      <c r="F20" s="13"/>
      <c r="G20" s="13"/>
      <c r="H20" s="13"/>
      <c r="I20" s="20"/>
      <c r="J20" s="13"/>
      <c r="K20" s="13"/>
      <c r="L20" s="13"/>
      <c r="M20" s="13"/>
    </row>
    <row r="21" spans="1:13" s="3" customFormat="1" ht="15.75" hidden="1">
      <c r="A21" s="13"/>
      <c r="B21" s="13"/>
      <c r="C21" s="13"/>
      <c r="D21" s="13"/>
      <c r="E21" s="13"/>
      <c r="F21" s="13"/>
      <c r="G21" s="13"/>
      <c r="H21" s="13"/>
      <c r="I21" s="20"/>
      <c r="J21" s="13"/>
      <c r="K21" s="13"/>
      <c r="L21" s="13"/>
      <c r="M21" s="13"/>
    </row>
    <row r="22" spans="1:13" s="3" customFormat="1" ht="15.75" hidden="1">
      <c r="A22" s="13"/>
      <c r="B22" s="13"/>
      <c r="C22" s="13"/>
      <c r="D22" s="13"/>
      <c r="E22" s="13"/>
      <c r="F22" s="13"/>
      <c r="G22" s="13"/>
      <c r="H22" s="13"/>
      <c r="I22" s="20"/>
      <c r="J22" s="13"/>
      <c r="K22" s="13"/>
      <c r="L22" s="13"/>
      <c r="M22" s="13"/>
    </row>
    <row r="23" spans="1:13" s="3" customFormat="1" ht="15.75" hidden="1">
      <c r="A23" s="13"/>
      <c r="B23" s="13"/>
      <c r="C23" s="13"/>
      <c r="D23" s="13"/>
      <c r="E23" s="13"/>
      <c r="F23" s="13"/>
      <c r="G23" s="13"/>
      <c r="H23" s="13"/>
      <c r="I23" s="20"/>
      <c r="J23" s="13"/>
      <c r="K23" s="13"/>
      <c r="L23" s="13"/>
      <c r="M23" s="13"/>
    </row>
    <row r="24" spans="1:13" s="3" customFormat="1" ht="15.75" hidden="1">
      <c r="A24" s="13"/>
      <c r="B24" s="14" t="s">
        <v>64</v>
      </c>
      <c r="C24" s="14"/>
      <c r="D24" s="14"/>
      <c r="E24" s="13"/>
      <c r="F24" s="13"/>
      <c r="G24" s="13"/>
      <c r="H24" s="13"/>
      <c r="I24" s="20"/>
      <c r="J24" s="13"/>
      <c r="K24" s="13"/>
      <c r="L24" s="13"/>
      <c r="M24" s="13"/>
    </row>
    <row r="25" spans="1:13" s="3" customFormat="1" ht="15.75" hidden="1">
      <c r="A25" s="13"/>
      <c r="B25" s="13"/>
      <c r="C25" s="13"/>
      <c r="D25" s="13"/>
      <c r="E25" s="13"/>
      <c r="F25" s="13"/>
      <c r="G25" s="13"/>
      <c r="H25" s="13"/>
      <c r="I25" s="20"/>
      <c r="J25" s="13"/>
      <c r="K25" s="13"/>
      <c r="L25" s="13"/>
      <c r="M25" s="13"/>
    </row>
    <row r="26" spans="1:13" s="3" customFormat="1" ht="18.75" customHeight="1" hidden="1">
      <c r="A26" s="13"/>
      <c r="B26" s="206" t="s">
        <v>66</v>
      </c>
      <c r="C26" s="100"/>
      <c r="D26" s="100"/>
      <c r="E26" s="172" t="s">
        <v>176</v>
      </c>
      <c r="F26" s="173"/>
      <c r="G26" s="216" t="s">
        <v>68</v>
      </c>
      <c r="H26" s="217"/>
      <c r="I26" s="217"/>
      <c r="J26" s="217"/>
      <c r="K26" s="217"/>
      <c r="L26" s="217"/>
      <c r="M26" s="13"/>
    </row>
    <row r="27" spans="1:13" s="3" customFormat="1" ht="18.75" customHeight="1" hidden="1">
      <c r="A27" s="13"/>
      <c r="B27" s="231"/>
      <c r="C27" s="101"/>
      <c r="D27" s="101"/>
      <c r="E27" s="172" t="s">
        <v>67</v>
      </c>
      <c r="F27" s="173"/>
      <c r="G27" s="172" t="s">
        <v>177</v>
      </c>
      <c r="H27" s="218"/>
      <c r="I27" s="173"/>
      <c r="J27" s="22"/>
      <c r="K27" s="206" t="s">
        <v>69</v>
      </c>
      <c r="L27" s="206" t="s">
        <v>178</v>
      </c>
      <c r="M27" s="13"/>
    </row>
    <row r="28" spans="1:13" s="3" customFormat="1" ht="37.5" customHeight="1" hidden="1">
      <c r="A28" s="13"/>
      <c r="B28" s="207"/>
      <c r="C28" s="99"/>
      <c r="D28" s="99"/>
      <c r="E28" s="22" t="s">
        <v>70</v>
      </c>
      <c r="F28" s="22" t="s">
        <v>71</v>
      </c>
      <c r="G28" s="22" t="s">
        <v>72</v>
      </c>
      <c r="H28" s="172" t="s">
        <v>73</v>
      </c>
      <c r="I28" s="173"/>
      <c r="J28" s="22"/>
      <c r="K28" s="207"/>
      <c r="L28" s="207"/>
      <c r="M28" s="13"/>
    </row>
    <row r="29" spans="1:13" s="3" customFormat="1" ht="15.75" hidden="1">
      <c r="A29" s="13"/>
      <c r="B29" s="22">
        <v>1</v>
      </c>
      <c r="C29" s="22"/>
      <c r="D29" s="22"/>
      <c r="E29" s="22">
        <v>2</v>
      </c>
      <c r="F29" s="22">
        <v>3</v>
      </c>
      <c r="G29" s="172">
        <v>4</v>
      </c>
      <c r="H29" s="218"/>
      <c r="I29" s="173"/>
      <c r="J29" s="22"/>
      <c r="K29" s="22">
        <v>5</v>
      </c>
      <c r="L29" s="22">
        <v>6</v>
      </c>
      <c r="M29" s="13"/>
    </row>
    <row r="30" spans="1:13" s="3" customFormat="1" ht="31.5" hidden="1">
      <c r="A30" s="13"/>
      <c r="B30" s="23" t="s">
        <v>74</v>
      </c>
      <c r="C30" s="23"/>
      <c r="D30" s="23"/>
      <c r="E30" s="24"/>
      <c r="F30" s="24"/>
      <c r="G30" s="24"/>
      <c r="H30" s="210"/>
      <c r="I30" s="212"/>
      <c r="J30" s="24"/>
      <c r="K30" s="24"/>
      <c r="L30" s="24"/>
      <c r="M30" s="13"/>
    </row>
    <row r="31" spans="1:13" s="3" customFormat="1" ht="47.25" hidden="1">
      <c r="A31" s="13"/>
      <c r="B31" s="23" t="s">
        <v>225</v>
      </c>
      <c r="C31" s="23"/>
      <c r="D31" s="23"/>
      <c r="E31" s="24">
        <v>8979</v>
      </c>
      <c r="F31" s="24">
        <v>8461</v>
      </c>
      <c r="G31" s="24">
        <v>8461</v>
      </c>
      <c r="H31" s="210">
        <v>7085</v>
      </c>
      <c r="I31" s="212"/>
      <c r="J31" s="24"/>
      <c r="K31" s="24"/>
      <c r="L31" s="24"/>
      <c r="M31" s="13"/>
    </row>
    <row r="32" spans="1:13" s="3" customFormat="1" ht="15.75" hidden="1">
      <c r="A32" s="13"/>
      <c r="B32" s="23"/>
      <c r="C32" s="23"/>
      <c r="D32" s="23"/>
      <c r="E32" s="24"/>
      <c r="F32" s="24"/>
      <c r="G32" s="24"/>
      <c r="H32" s="210"/>
      <c r="I32" s="212"/>
      <c r="J32" s="24"/>
      <c r="K32" s="24"/>
      <c r="L32" s="24"/>
      <c r="M32" s="13"/>
    </row>
    <row r="33" spans="1:13" s="3" customFormat="1" ht="18.75" hidden="1">
      <c r="A33" s="13"/>
      <c r="B33" s="208"/>
      <c r="C33" s="209"/>
      <c r="D33" s="209"/>
      <c r="E33" s="209"/>
      <c r="F33" s="209"/>
      <c r="G33" s="209"/>
      <c r="H33" s="209"/>
      <c r="I33" s="209"/>
      <c r="J33" s="209"/>
      <c r="K33" s="209"/>
      <c r="L33" s="209"/>
      <c r="M33" s="13"/>
    </row>
    <row r="34" spans="1:13" s="3" customFormat="1" ht="18.75" customHeight="1" hidden="1">
      <c r="A34" s="13"/>
      <c r="B34" s="208" t="s">
        <v>75</v>
      </c>
      <c r="C34" s="209"/>
      <c r="D34" s="209"/>
      <c r="E34" s="209"/>
      <c r="F34" s="209"/>
      <c r="G34" s="209"/>
      <c r="H34" s="209"/>
      <c r="I34" s="209"/>
      <c r="J34" s="209"/>
      <c r="K34" s="209"/>
      <c r="L34" s="209"/>
      <c r="M34" s="13"/>
    </row>
    <row r="35" spans="1:13" s="3" customFormat="1" ht="40.5" customHeight="1" hidden="1">
      <c r="A35" s="13"/>
      <c r="B35" s="25" t="s">
        <v>76</v>
      </c>
      <c r="C35" s="25"/>
      <c r="D35" s="25"/>
      <c r="E35" s="24">
        <v>2</v>
      </c>
      <c r="F35" s="24">
        <v>2</v>
      </c>
      <c r="G35" s="210">
        <v>2</v>
      </c>
      <c r="H35" s="211"/>
      <c r="I35" s="212"/>
      <c r="J35" s="24"/>
      <c r="K35" s="24"/>
      <c r="L35" s="24"/>
      <c r="M35" s="13"/>
    </row>
    <row r="36" spans="1:13" s="3" customFormat="1" ht="15.75" hidden="1">
      <c r="A36" s="13"/>
      <c r="B36" s="25" t="s">
        <v>77</v>
      </c>
      <c r="C36" s="25"/>
      <c r="D36" s="25"/>
      <c r="E36" s="24">
        <v>15</v>
      </c>
      <c r="F36" s="24">
        <v>15</v>
      </c>
      <c r="G36" s="210">
        <v>15</v>
      </c>
      <c r="H36" s="211"/>
      <c r="I36" s="212"/>
      <c r="J36" s="24"/>
      <c r="K36" s="24"/>
      <c r="L36" s="24"/>
      <c r="M36" s="13"/>
    </row>
    <row r="37" spans="1:13" s="3" customFormat="1" ht="15.75" hidden="1">
      <c r="A37" s="13"/>
      <c r="B37" s="25" t="s">
        <v>78</v>
      </c>
      <c r="C37" s="25"/>
      <c r="D37" s="25"/>
      <c r="E37" s="24">
        <v>10</v>
      </c>
      <c r="F37" s="24">
        <v>10</v>
      </c>
      <c r="G37" s="210">
        <v>10</v>
      </c>
      <c r="H37" s="211"/>
      <c r="I37" s="212"/>
      <c r="J37" s="24"/>
      <c r="K37" s="24"/>
      <c r="L37" s="24"/>
      <c r="M37" s="13"/>
    </row>
    <row r="38" spans="1:13" s="3" customFormat="1" ht="18.75" customHeight="1" hidden="1">
      <c r="A38" s="13"/>
      <c r="B38" s="208" t="s">
        <v>79</v>
      </c>
      <c r="C38" s="209"/>
      <c r="D38" s="209"/>
      <c r="E38" s="209"/>
      <c r="F38" s="209"/>
      <c r="G38" s="209"/>
      <c r="H38" s="209"/>
      <c r="I38" s="209"/>
      <c r="J38" s="209"/>
      <c r="K38" s="209"/>
      <c r="L38" s="209"/>
      <c r="M38" s="13"/>
    </row>
    <row r="39" spans="1:13" s="3" customFormat="1" ht="15.75" hidden="1">
      <c r="A39" s="13"/>
      <c r="B39" s="23"/>
      <c r="C39" s="89"/>
      <c r="D39" s="89"/>
      <c r="E39" s="210" t="s">
        <v>39</v>
      </c>
      <c r="F39" s="212"/>
      <c r="G39" s="213"/>
      <c r="H39" s="214"/>
      <c r="I39" s="215"/>
      <c r="J39" s="23"/>
      <c r="K39" s="23"/>
      <c r="L39" s="23"/>
      <c r="M39" s="13"/>
    </row>
    <row r="40" spans="1:13" s="3" customFormat="1" ht="15.75" hidden="1">
      <c r="A40" s="13"/>
      <c r="B40" s="23" t="s">
        <v>213</v>
      </c>
      <c r="C40" s="89"/>
      <c r="D40" s="89"/>
      <c r="E40" s="203">
        <f>SUM(E41,E46)+E42</f>
        <v>7419.5556400000005</v>
      </c>
      <c r="F40" s="205"/>
      <c r="G40" s="203">
        <f>G41+G46+G48+G42</f>
        <v>8076.2047468</v>
      </c>
      <c r="H40" s="204"/>
      <c r="I40" s="205"/>
      <c r="J40" s="23"/>
      <c r="K40" s="23"/>
      <c r="L40" s="23"/>
      <c r="M40" s="13"/>
    </row>
    <row r="41" spans="1:13" s="3" customFormat="1" ht="15.75" hidden="1">
      <c r="A41" s="13"/>
      <c r="B41" s="22" t="s">
        <v>80</v>
      </c>
      <c r="C41" s="98"/>
      <c r="D41" s="98"/>
      <c r="E41" s="203">
        <v>6681.04464</v>
      </c>
      <c r="F41" s="205"/>
      <c r="G41" s="203">
        <v>7411.200714</v>
      </c>
      <c r="H41" s="204"/>
      <c r="I41" s="205"/>
      <c r="J41" s="24"/>
      <c r="K41" s="24"/>
      <c r="L41" s="24"/>
      <c r="M41" s="13"/>
    </row>
    <row r="42" spans="1:13" s="3" customFormat="1" ht="15.75" hidden="1">
      <c r="A42" s="13"/>
      <c r="B42" s="26" t="s">
        <v>214</v>
      </c>
      <c r="C42" s="102"/>
      <c r="D42" s="102"/>
      <c r="E42" s="203">
        <f>246.9+5.87</f>
        <v>252.77</v>
      </c>
      <c r="F42" s="205"/>
      <c r="G42" s="203">
        <v>131.6290328</v>
      </c>
      <c r="H42" s="204"/>
      <c r="I42" s="205"/>
      <c r="J42" s="24"/>
      <c r="K42" s="24"/>
      <c r="L42" s="24"/>
      <c r="M42" s="13"/>
    </row>
    <row r="43" spans="1:13" s="3" customFormat="1" ht="15.75" hidden="1">
      <c r="A43" s="13"/>
      <c r="B43" s="25" t="s">
        <v>81</v>
      </c>
      <c r="C43" s="103"/>
      <c r="D43" s="103"/>
      <c r="E43" s="203"/>
      <c r="F43" s="205"/>
      <c r="G43" s="203"/>
      <c r="H43" s="204"/>
      <c r="I43" s="205"/>
      <c r="J43" s="24"/>
      <c r="K43" s="24"/>
      <c r="L43" s="24"/>
      <c r="M43" s="13"/>
    </row>
    <row r="44" spans="1:13" s="3" customFormat="1" ht="15.75" hidden="1">
      <c r="A44" s="13"/>
      <c r="B44" s="25" t="s">
        <v>82</v>
      </c>
      <c r="C44" s="103"/>
      <c r="D44" s="103"/>
      <c r="E44" s="203">
        <f>E41/F31</f>
        <v>0.7896282519796715</v>
      </c>
      <c r="F44" s="205"/>
      <c r="G44" s="203">
        <f>G41/H31</f>
        <v>1.0460410323218066</v>
      </c>
      <c r="H44" s="204"/>
      <c r="I44" s="205"/>
      <c r="J44" s="24"/>
      <c r="K44" s="24"/>
      <c r="L44" s="24"/>
      <c r="M44" s="13"/>
    </row>
    <row r="45" spans="1:13" s="3" customFormat="1" ht="15.75" hidden="1">
      <c r="A45" s="13"/>
      <c r="B45" s="25" t="s">
        <v>83</v>
      </c>
      <c r="C45" s="103"/>
      <c r="D45" s="103"/>
      <c r="E45" s="203"/>
      <c r="F45" s="205"/>
      <c r="G45" s="203"/>
      <c r="H45" s="204"/>
      <c r="I45" s="205"/>
      <c r="J45" s="24"/>
      <c r="K45" s="24"/>
      <c r="L45" s="24"/>
      <c r="M45" s="13"/>
    </row>
    <row r="46" spans="1:13" s="3" customFormat="1" ht="15.75" hidden="1">
      <c r="A46" s="13"/>
      <c r="B46" s="25" t="s">
        <v>84</v>
      </c>
      <c r="C46" s="103"/>
      <c r="D46" s="103"/>
      <c r="E46" s="203">
        <v>485.741</v>
      </c>
      <c r="F46" s="205"/>
      <c r="G46" s="203">
        <v>523.375</v>
      </c>
      <c r="H46" s="204"/>
      <c r="I46" s="205"/>
      <c r="J46" s="24"/>
      <c r="K46" s="24"/>
      <c r="L46" s="24"/>
      <c r="M46" s="13"/>
    </row>
    <row r="47" spans="1:13" s="3" customFormat="1" ht="31.5" hidden="1">
      <c r="A47" s="13"/>
      <c r="B47" s="25" t="s">
        <v>85</v>
      </c>
      <c r="C47" s="103"/>
      <c r="D47" s="103"/>
      <c r="E47" s="203">
        <f>E46/F31</f>
        <v>0.057409407871409995</v>
      </c>
      <c r="F47" s="205"/>
      <c r="G47" s="203">
        <f>G46/H31</f>
        <v>0.07387085391672547</v>
      </c>
      <c r="H47" s="204"/>
      <c r="I47" s="205"/>
      <c r="J47" s="24"/>
      <c r="K47" s="24"/>
      <c r="L47" s="24"/>
      <c r="M47" s="13"/>
    </row>
    <row r="48" spans="1:13" s="3" customFormat="1" ht="31.5" hidden="1">
      <c r="A48" s="13"/>
      <c r="B48" s="25" t="s">
        <v>86</v>
      </c>
      <c r="C48" s="103"/>
      <c r="D48" s="103"/>
      <c r="E48" s="203"/>
      <c r="F48" s="205"/>
      <c r="G48" s="203">
        <v>10</v>
      </c>
      <c r="H48" s="204"/>
      <c r="I48" s="205"/>
      <c r="J48" s="24"/>
      <c r="K48" s="24"/>
      <c r="L48" s="24"/>
      <c r="M48" s="13"/>
    </row>
    <row r="49" spans="1:13" s="3" customFormat="1" ht="18.75" customHeight="1" hidden="1">
      <c r="A49" s="13"/>
      <c r="B49" s="208" t="s">
        <v>87</v>
      </c>
      <c r="C49" s="209"/>
      <c r="D49" s="209"/>
      <c r="E49" s="209"/>
      <c r="F49" s="209"/>
      <c r="G49" s="209"/>
      <c r="H49" s="209"/>
      <c r="I49" s="209"/>
      <c r="J49" s="209"/>
      <c r="K49" s="209"/>
      <c r="L49" s="209"/>
      <c r="M49" s="13"/>
    </row>
    <row r="50" spans="1:13" s="3" customFormat="1" ht="15.75" hidden="1">
      <c r="A50" s="13"/>
      <c r="B50" s="25" t="s">
        <v>88</v>
      </c>
      <c r="C50" s="103"/>
      <c r="D50" s="103"/>
      <c r="E50" s="232">
        <v>156.1837037</v>
      </c>
      <c r="F50" s="233"/>
      <c r="G50" s="232">
        <v>174.4003704</v>
      </c>
      <c r="H50" s="234"/>
      <c r="I50" s="233"/>
      <c r="J50" s="23"/>
      <c r="K50" s="23"/>
      <c r="L50" s="23"/>
      <c r="M50" s="13"/>
    </row>
    <row r="51" spans="1:13" s="3" customFormat="1" ht="31.5" hidden="1">
      <c r="A51" s="13"/>
      <c r="B51" s="25" t="s">
        <v>89</v>
      </c>
      <c r="C51" s="103"/>
      <c r="D51" s="103"/>
      <c r="E51" s="225">
        <v>0.79</v>
      </c>
      <c r="F51" s="226"/>
      <c r="G51" s="225">
        <v>0.78</v>
      </c>
      <c r="H51" s="227"/>
      <c r="I51" s="226"/>
      <c r="J51" s="27"/>
      <c r="K51" s="27"/>
      <c r="L51" s="27"/>
      <c r="M51" s="13"/>
    </row>
    <row r="52" spans="1:13" s="3" customFormat="1" ht="18.75" customHeight="1" hidden="1">
      <c r="A52" s="13"/>
      <c r="B52" s="208" t="s">
        <v>90</v>
      </c>
      <c r="C52" s="209"/>
      <c r="D52" s="209"/>
      <c r="E52" s="209"/>
      <c r="F52" s="209"/>
      <c r="G52" s="209"/>
      <c r="H52" s="209"/>
      <c r="I52" s="209"/>
      <c r="J52" s="209"/>
      <c r="K52" s="209"/>
      <c r="L52" s="209"/>
      <c r="M52" s="13"/>
    </row>
    <row r="53" spans="1:13" s="3" customFormat="1" ht="18.75" customHeight="1" hidden="1">
      <c r="A53" s="13"/>
      <c r="B53" s="25" t="s">
        <v>91</v>
      </c>
      <c r="C53" s="103"/>
      <c r="D53" s="103"/>
      <c r="E53" s="213"/>
      <c r="F53" s="215"/>
      <c r="G53" s="213"/>
      <c r="H53" s="215"/>
      <c r="I53" s="219"/>
      <c r="J53" s="220"/>
      <c r="K53" s="221"/>
      <c r="L53" s="89"/>
      <c r="M53" s="13"/>
    </row>
    <row r="54" spans="1:13" s="3" customFormat="1" ht="31.5" hidden="1">
      <c r="A54" s="13"/>
      <c r="B54" s="25" t="s">
        <v>92</v>
      </c>
      <c r="C54" s="103"/>
      <c r="D54" s="103"/>
      <c r="E54" s="213"/>
      <c r="F54" s="215"/>
      <c r="G54" s="213"/>
      <c r="H54" s="215"/>
      <c r="I54" s="219"/>
      <c r="J54" s="220"/>
      <c r="K54" s="221"/>
      <c r="L54" s="23"/>
      <c r="M54" s="13"/>
    </row>
    <row r="55" spans="1:13" s="3" customFormat="1" ht="18.75" customHeight="1" hidden="1">
      <c r="A55" s="13"/>
      <c r="B55" s="208" t="s">
        <v>93</v>
      </c>
      <c r="C55" s="209"/>
      <c r="D55" s="209"/>
      <c r="E55" s="209"/>
      <c r="F55" s="209"/>
      <c r="G55" s="209"/>
      <c r="H55" s="209"/>
      <c r="I55" s="209"/>
      <c r="J55" s="209"/>
      <c r="K55" s="209"/>
      <c r="L55" s="209"/>
      <c r="M55" s="13"/>
    </row>
    <row r="56" spans="1:13" s="3" customFormat="1" ht="37.5" customHeight="1" hidden="1">
      <c r="A56" s="30"/>
      <c r="B56" s="28" t="s">
        <v>94</v>
      </c>
      <c r="C56" s="104"/>
      <c r="D56" s="104"/>
      <c r="E56" s="197" t="s">
        <v>192</v>
      </c>
      <c r="F56" s="198"/>
      <c r="G56" s="197" t="s">
        <v>193</v>
      </c>
      <c r="H56" s="198"/>
      <c r="I56" s="222" t="s">
        <v>194</v>
      </c>
      <c r="J56" s="223"/>
      <c r="K56" s="224"/>
      <c r="L56" s="88" t="s">
        <v>195</v>
      </c>
      <c r="M56" s="13"/>
    </row>
    <row r="57" spans="1:13" s="3" customFormat="1" ht="56.25" customHeight="1" hidden="1">
      <c r="A57" s="13"/>
      <c r="B57" s="29" t="s">
        <v>207</v>
      </c>
      <c r="C57" s="105"/>
      <c r="D57" s="105"/>
      <c r="E57" s="170" t="s">
        <v>199</v>
      </c>
      <c r="F57" s="171"/>
      <c r="G57" s="201" t="s">
        <v>196</v>
      </c>
      <c r="H57" s="202"/>
      <c r="I57" s="228" t="s">
        <v>197</v>
      </c>
      <c r="J57" s="229"/>
      <c r="K57" s="230"/>
      <c r="L57" s="87" t="s">
        <v>198</v>
      </c>
      <c r="M57" s="13"/>
    </row>
    <row r="58" spans="1:13" s="3" customFormat="1" ht="18.75" customHeight="1" hidden="1">
      <c r="A58" s="13"/>
      <c r="B58" s="29" t="s">
        <v>208</v>
      </c>
      <c r="C58" s="105"/>
      <c r="D58" s="105"/>
      <c r="E58" s="170" t="s">
        <v>200</v>
      </c>
      <c r="F58" s="171"/>
      <c r="G58" s="170" t="s">
        <v>201</v>
      </c>
      <c r="H58" s="171"/>
      <c r="I58" s="228" t="s">
        <v>197</v>
      </c>
      <c r="J58" s="229"/>
      <c r="K58" s="230"/>
      <c r="L58" s="87" t="s">
        <v>202</v>
      </c>
      <c r="M58" s="13"/>
    </row>
    <row r="59" spans="1:13" s="3" customFormat="1" ht="75" customHeight="1" hidden="1">
      <c r="A59" s="13"/>
      <c r="B59" s="29" t="s">
        <v>209</v>
      </c>
      <c r="C59" s="105"/>
      <c r="D59" s="105"/>
      <c r="E59" s="170" t="s">
        <v>199</v>
      </c>
      <c r="F59" s="171"/>
      <c r="G59" s="170" t="s">
        <v>204</v>
      </c>
      <c r="H59" s="171"/>
      <c r="I59" s="228" t="s">
        <v>203</v>
      </c>
      <c r="J59" s="229"/>
      <c r="K59" s="230"/>
      <c r="L59" s="87" t="s">
        <v>205</v>
      </c>
      <c r="M59" s="13"/>
    </row>
    <row r="60" spans="1:13" s="3" customFormat="1" ht="15.75" hidden="1">
      <c r="A60" s="30" t="s">
        <v>226</v>
      </c>
      <c r="B60" s="31" t="s">
        <v>95</v>
      </c>
      <c r="C60" s="31"/>
      <c r="D60" s="31"/>
      <c r="E60" s="31"/>
      <c r="F60" s="13"/>
      <c r="G60" s="13"/>
      <c r="H60" s="13"/>
      <c r="I60" s="20"/>
      <c r="J60" s="13"/>
      <c r="K60" s="13"/>
      <c r="L60" s="13"/>
      <c r="M60" s="13"/>
    </row>
    <row r="61" spans="1:13" s="3" customFormat="1" ht="15.75" hidden="1">
      <c r="A61" s="13" t="s">
        <v>96</v>
      </c>
      <c r="B61" s="13" t="s">
        <v>97</v>
      </c>
      <c r="C61" s="13"/>
      <c r="D61" s="13"/>
      <c r="E61" s="13"/>
      <c r="F61" s="13"/>
      <c r="G61" s="13"/>
      <c r="H61" s="13"/>
      <c r="I61" s="20"/>
      <c r="J61" s="13"/>
      <c r="K61" s="13"/>
      <c r="L61" s="13"/>
      <c r="M61" s="13"/>
    </row>
    <row r="62" spans="1:13" s="3" customFormat="1" ht="15.75" hidden="1">
      <c r="A62" s="13"/>
      <c r="B62" s="13"/>
      <c r="C62" s="13"/>
      <c r="D62" s="13"/>
      <c r="E62" s="13"/>
      <c r="F62" s="13"/>
      <c r="G62" s="21" t="s">
        <v>220</v>
      </c>
      <c r="H62" s="13"/>
      <c r="I62" s="20"/>
      <c r="J62" s="13"/>
      <c r="K62" s="13"/>
      <c r="L62" s="13"/>
      <c r="M62" s="13"/>
    </row>
    <row r="63" spans="1:13" s="5" customFormat="1" ht="79.5" customHeight="1" hidden="1">
      <c r="A63" s="32" t="s">
        <v>98</v>
      </c>
      <c r="B63" s="24" t="s">
        <v>99</v>
      </c>
      <c r="C63" s="24"/>
      <c r="D63" s="24"/>
      <c r="E63" s="24" t="s">
        <v>100</v>
      </c>
      <c r="F63" s="24" t="s">
        <v>101</v>
      </c>
      <c r="G63" s="24" t="s">
        <v>102</v>
      </c>
      <c r="H63" s="13"/>
      <c r="I63" s="20"/>
      <c r="J63" s="13"/>
      <c r="K63" s="13"/>
      <c r="L63" s="13"/>
      <c r="M63" s="30"/>
    </row>
    <row r="64" spans="1:13" s="3" customFormat="1" ht="15.75" hidden="1">
      <c r="A64" s="32" t="s">
        <v>103</v>
      </c>
      <c r="B64" s="33"/>
      <c r="C64" s="33"/>
      <c r="D64" s="33"/>
      <c r="E64" s="32"/>
      <c r="F64" s="32"/>
      <c r="G64" s="32"/>
      <c r="H64" s="13"/>
      <c r="I64" s="20"/>
      <c r="J64" s="13"/>
      <c r="K64" s="13"/>
      <c r="L64" s="13"/>
      <c r="M64" s="13"/>
    </row>
    <row r="65" spans="1:13" s="3" customFormat="1" ht="15.75" hidden="1">
      <c r="A65" s="13"/>
      <c r="B65" s="55"/>
      <c r="C65" s="55"/>
      <c r="D65" s="55"/>
      <c r="E65" s="13"/>
      <c r="F65" s="13"/>
      <c r="G65" s="13"/>
      <c r="H65" s="13"/>
      <c r="I65" s="20"/>
      <c r="J65" s="13"/>
      <c r="K65" s="13"/>
      <c r="L65" s="13"/>
      <c r="M65" s="13"/>
    </row>
    <row r="66" spans="1:13" s="3" customFormat="1" ht="15.75">
      <c r="A66" s="13"/>
      <c r="B66" s="56" t="s">
        <v>260</v>
      </c>
      <c r="C66" s="56"/>
      <c r="D66" s="56"/>
      <c r="E66" s="13"/>
      <c r="F66" s="13"/>
      <c r="G66" s="13"/>
      <c r="H66" s="13"/>
      <c r="I66" s="20"/>
      <c r="J66" s="13"/>
      <c r="K66" s="13"/>
      <c r="L66" s="13"/>
      <c r="M66" s="13"/>
    </row>
    <row r="67" spans="1:13" s="3" customFormat="1" ht="15.75">
      <c r="A67" s="13"/>
      <c r="B67" s="13"/>
      <c r="C67" s="13"/>
      <c r="D67" s="13"/>
      <c r="E67" s="13"/>
      <c r="F67" s="13"/>
      <c r="G67" s="13"/>
      <c r="H67" s="13"/>
      <c r="I67" s="20" t="s">
        <v>105</v>
      </c>
      <c r="J67" s="13"/>
      <c r="K67" s="13"/>
      <c r="L67" s="13"/>
      <c r="M67" s="13"/>
    </row>
    <row r="68" spans="1:13" s="3" customFormat="1" ht="31.5">
      <c r="A68" s="57" t="s">
        <v>98</v>
      </c>
      <c r="B68" s="58" t="s">
        <v>106</v>
      </c>
      <c r="C68" s="58" t="s">
        <v>267</v>
      </c>
      <c r="D68" s="58" t="s">
        <v>268</v>
      </c>
      <c r="E68" s="59" t="s">
        <v>107</v>
      </c>
      <c r="F68" s="59" t="s">
        <v>108</v>
      </c>
      <c r="G68" s="59" t="s">
        <v>109</v>
      </c>
      <c r="H68" s="59" t="s">
        <v>110</v>
      </c>
      <c r="I68" s="60">
        <v>2012</v>
      </c>
      <c r="J68" s="57"/>
      <c r="K68" s="13"/>
      <c r="L68" s="13"/>
      <c r="M68" s="13"/>
    </row>
    <row r="69" spans="1:13" s="3" customFormat="1" ht="15.75">
      <c r="A69" s="57"/>
      <c r="B69" s="58"/>
      <c r="C69" s="58"/>
      <c r="D69" s="58"/>
      <c r="E69" s="59"/>
      <c r="F69" s="59"/>
      <c r="G69" s="59"/>
      <c r="H69" s="59"/>
      <c r="I69" s="61" t="s">
        <v>112</v>
      </c>
      <c r="J69" s="57"/>
      <c r="K69" s="13"/>
      <c r="L69" s="13"/>
      <c r="M69" s="13"/>
    </row>
    <row r="70" spans="1:13" s="3" customFormat="1" ht="15.75">
      <c r="A70" s="57"/>
      <c r="B70" s="58"/>
      <c r="C70" s="58"/>
      <c r="D70" s="58"/>
      <c r="E70" s="59"/>
      <c r="F70" s="59"/>
      <c r="G70" s="59"/>
      <c r="H70" s="59" t="s">
        <v>111</v>
      </c>
      <c r="I70" s="62"/>
      <c r="J70" s="59"/>
      <c r="K70" s="13"/>
      <c r="L70" s="13"/>
      <c r="M70" s="13"/>
    </row>
    <row r="71" spans="1:13" s="3" customFormat="1" ht="15.75">
      <c r="A71" s="57"/>
      <c r="B71" s="63" t="s">
        <v>113</v>
      </c>
      <c r="C71" s="63"/>
      <c r="D71" s="63"/>
      <c r="E71" s="58"/>
      <c r="F71" s="58"/>
      <c r="G71" s="58"/>
      <c r="H71" s="58"/>
      <c r="I71" s="139">
        <f>25608.96/1000</f>
        <v>25.60896</v>
      </c>
      <c r="J71" s="58"/>
      <c r="K71" s="13"/>
      <c r="L71" s="90"/>
      <c r="M71" s="13"/>
    </row>
    <row r="72" spans="1:13" s="3" customFormat="1" ht="15.75">
      <c r="A72" s="57">
        <v>1</v>
      </c>
      <c r="B72" s="57" t="s">
        <v>114</v>
      </c>
      <c r="C72" s="65"/>
      <c r="D72" s="65"/>
      <c r="E72" s="65"/>
      <c r="F72" s="66"/>
      <c r="G72" s="66"/>
      <c r="H72" s="66"/>
      <c r="I72" s="67"/>
      <c r="J72" s="66"/>
      <c r="K72" s="13"/>
      <c r="L72" s="13"/>
      <c r="M72" s="13"/>
    </row>
    <row r="73" spans="1:13" s="3" customFormat="1" ht="15.75">
      <c r="A73" s="57"/>
      <c r="B73" s="57" t="s">
        <v>221</v>
      </c>
      <c r="C73" s="57"/>
      <c r="D73" s="57"/>
      <c r="E73" s="142">
        <f>SUM(E75:E79)</f>
        <v>2061.4</v>
      </c>
      <c r="F73" s="142">
        <f>SUM(F75:F79)</f>
        <v>1903.85</v>
      </c>
      <c r="G73" s="142">
        <f>SUM(G75:G79)</f>
        <v>1949.25</v>
      </c>
      <c r="H73" s="142">
        <f>SUM(H75:H79)</f>
        <v>2096.55</v>
      </c>
      <c r="I73" s="142">
        <f>SUM(I75:I79)</f>
        <v>8011.05</v>
      </c>
      <c r="J73" s="69"/>
      <c r="K73" s="13"/>
      <c r="L73" s="13"/>
      <c r="M73" s="13"/>
    </row>
    <row r="74" spans="1:13" s="3" customFormat="1" ht="21.75" customHeight="1">
      <c r="A74" s="60" t="s">
        <v>157</v>
      </c>
      <c r="B74" s="59" t="s">
        <v>115</v>
      </c>
      <c r="C74" s="59"/>
      <c r="D74" s="59"/>
      <c r="E74" s="143"/>
      <c r="F74" s="143"/>
      <c r="G74" s="143"/>
      <c r="H74" s="143"/>
      <c r="I74" s="143"/>
      <c r="J74" s="59"/>
      <c r="K74" s="13"/>
      <c r="L74" s="13"/>
      <c r="M74" s="13"/>
    </row>
    <row r="75" spans="1:13" s="3" customFormat="1" ht="18" customHeight="1">
      <c r="A75" s="60"/>
      <c r="B75" s="71" t="s">
        <v>116</v>
      </c>
      <c r="C75" s="71"/>
      <c r="D75" s="71"/>
      <c r="E75" s="143">
        <f>2061400/1000</f>
        <v>2061.4</v>
      </c>
      <c r="F75" s="143">
        <f>1903850/1000</f>
        <v>1903.85</v>
      </c>
      <c r="G75" s="143">
        <f>1949250/1000</f>
        <v>1949.25</v>
      </c>
      <c r="H75" s="143">
        <f>2096550/1000</f>
        <v>2096.55</v>
      </c>
      <c r="I75" s="143">
        <f>SUM(E75:H75)</f>
        <v>8011.05</v>
      </c>
      <c r="J75" s="59">
        <f>I75/12</f>
        <v>667.5875</v>
      </c>
      <c r="K75" s="13"/>
      <c r="L75" s="13"/>
      <c r="M75" s="13"/>
    </row>
    <row r="76" spans="1:13" s="3" customFormat="1" ht="15.75">
      <c r="A76" s="60" t="s">
        <v>158</v>
      </c>
      <c r="B76" s="71" t="s">
        <v>212</v>
      </c>
      <c r="C76" s="71"/>
      <c r="D76" s="71"/>
      <c r="E76" s="143"/>
      <c r="F76" s="143"/>
      <c r="G76" s="143"/>
      <c r="H76" s="143"/>
      <c r="I76" s="143">
        <f>SUM(E76:H76)</f>
        <v>0</v>
      </c>
      <c r="J76" s="59">
        <f>I76/9</f>
        <v>0</v>
      </c>
      <c r="K76" s="13"/>
      <c r="L76" s="91"/>
      <c r="M76" s="13"/>
    </row>
    <row r="77" spans="1:13" s="3" customFormat="1" ht="15.75">
      <c r="A77" s="60" t="s">
        <v>159</v>
      </c>
      <c r="B77" s="71" t="s">
        <v>117</v>
      </c>
      <c r="C77" s="71"/>
      <c r="D77" s="71"/>
      <c r="E77" s="143"/>
      <c r="F77" s="143"/>
      <c r="G77" s="143"/>
      <c r="H77" s="143"/>
      <c r="I77" s="143"/>
      <c r="J77" s="59"/>
      <c r="K77" s="13"/>
      <c r="L77" s="91"/>
      <c r="M77" s="13"/>
    </row>
    <row r="78" spans="1:13" s="3" customFormat="1" ht="111" customHeight="1">
      <c r="A78" s="60" t="s">
        <v>160</v>
      </c>
      <c r="B78" s="59" t="s">
        <v>235</v>
      </c>
      <c r="C78" s="59"/>
      <c r="D78" s="59"/>
      <c r="E78" s="143"/>
      <c r="F78" s="143"/>
      <c r="G78" s="143"/>
      <c r="H78" s="143"/>
      <c r="I78" s="143">
        <f aca="true" t="shared" si="0" ref="I78:I84">SUM(E78:H78)</f>
        <v>0</v>
      </c>
      <c r="J78" s="59">
        <f>I78/9</f>
        <v>0</v>
      </c>
      <c r="K78" s="91"/>
      <c r="L78" s="13"/>
      <c r="M78" s="13"/>
    </row>
    <row r="79" spans="1:13" s="3" customFormat="1" ht="38.25" customHeight="1">
      <c r="A79" s="60" t="s">
        <v>161</v>
      </c>
      <c r="B79" s="59" t="s">
        <v>222</v>
      </c>
      <c r="C79" s="59"/>
      <c r="D79" s="59"/>
      <c r="E79" s="143"/>
      <c r="F79" s="143"/>
      <c r="G79" s="143"/>
      <c r="H79" s="143"/>
      <c r="I79" s="143">
        <f t="shared" si="0"/>
        <v>0</v>
      </c>
      <c r="J79" s="59"/>
      <c r="K79" s="91"/>
      <c r="L79" s="13"/>
      <c r="M79" s="13"/>
    </row>
    <row r="80" spans="1:13" s="3" customFormat="1" ht="16.5" customHeight="1">
      <c r="A80" s="57">
        <v>2</v>
      </c>
      <c r="B80" s="57" t="s">
        <v>118</v>
      </c>
      <c r="C80" s="57"/>
      <c r="D80" s="57"/>
      <c r="E80" s="142">
        <f>SUM(E81,E84,E89,E91,E108,E97,E117,E118,E122)</f>
        <v>2061.3999999999996</v>
      </c>
      <c r="F80" s="142">
        <f>SUM(F81,F84,F89,F91,F108,F97,F117,F118,F122)</f>
        <v>1903.85</v>
      </c>
      <c r="G80" s="142">
        <f>SUM(G81,G84,G89,G91,G108,G97,G117,G118,G122)</f>
        <v>1949.2500000000002</v>
      </c>
      <c r="H80" s="142">
        <f>SUM(H81,H84,H89,H91,H108,H97,H117,H118,H122)</f>
        <v>2096.5499999999997</v>
      </c>
      <c r="I80" s="142">
        <f>SUM(E80:H80)</f>
        <v>8011.049999999999</v>
      </c>
      <c r="J80" s="68">
        <f>SUM(J81,J84,J91,J108,J97,J117,J118,J122)</f>
        <v>6254.091833333334</v>
      </c>
      <c r="K80" s="92"/>
      <c r="L80" s="13"/>
      <c r="M80" s="13"/>
    </row>
    <row r="81" spans="1:13" s="3" customFormat="1" ht="15.75">
      <c r="A81" s="57"/>
      <c r="B81" s="57" t="s">
        <v>240</v>
      </c>
      <c r="C81" s="57"/>
      <c r="D81" s="57"/>
      <c r="E81" s="143">
        <f>SUM(E82:E83)</f>
        <v>1597.8</v>
      </c>
      <c r="F81" s="143">
        <f>SUM(F82:F83)</f>
        <v>1597.8</v>
      </c>
      <c r="G81" s="143">
        <f>SUM(G82:G83)</f>
        <v>1632.2</v>
      </c>
      <c r="H81" s="143">
        <f>SUM(H82:H83)</f>
        <v>1701.6</v>
      </c>
      <c r="I81" s="143">
        <f>SUM(E81:H81)</f>
        <v>6529.4</v>
      </c>
      <c r="J81" s="70">
        <f>4708.81+1422.061</f>
        <v>6130.871</v>
      </c>
      <c r="K81" s="13"/>
      <c r="L81" s="13"/>
      <c r="M81" s="13"/>
    </row>
    <row r="82" spans="1:14" s="3" customFormat="1" ht="15.75">
      <c r="A82" s="57"/>
      <c r="B82" s="106" t="s">
        <v>269</v>
      </c>
      <c r="C82" s="59">
        <v>211</v>
      </c>
      <c r="D82" s="59"/>
      <c r="E82" s="143">
        <f>1227300/1000</f>
        <v>1227.3</v>
      </c>
      <c r="F82" s="143">
        <f>1227300/1000</f>
        <v>1227.3</v>
      </c>
      <c r="G82" s="143">
        <f>1253500/1000</f>
        <v>1253.5</v>
      </c>
      <c r="H82" s="143">
        <f>1306800/1000</f>
        <v>1306.8</v>
      </c>
      <c r="I82" s="143">
        <f t="shared" si="0"/>
        <v>5014.9</v>
      </c>
      <c r="J82" s="59"/>
      <c r="K82" s="13"/>
      <c r="L82" s="13"/>
      <c r="M82" s="13"/>
      <c r="N82" s="95"/>
    </row>
    <row r="83" spans="1:14" s="3" customFormat="1" ht="15.75">
      <c r="A83" s="57"/>
      <c r="B83" s="106" t="s">
        <v>270</v>
      </c>
      <c r="C83" s="59">
        <v>213</v>
      </c>
      <c r="D83" s="59"/>
      <c r="E83" s="143">
        <f>370500/1000</f>
        <v>370.5</v>
      </c>
      <c r="F83" s="143">
        <f>370500/1000</f>
        <v>370.5</v>
      </c>
      <c r="G83" s="143">
        <f>378700/1000</f>
        <v>378.7</v>
      </c>
      <c r="H83" s="143">
        <f>394800/1000</f>
        <v>394.8</v>
      </c>
      <c r="I83" s="143">
        <f t="shared" si="0"/>
        <v>1514.5</v>
      </c>
      <c r="J83" s="59"/>
      <c r="K83" s="13"/>
      <c r="L83" s="93"/>
      <c r="M83" s="13"/>
      <c r="N83" s="95"/>
    </row>
    <row r="84" spans="1:14" s="3" customFormat="1" ht="31.5">
      <c r="A84" s="57"/>
      <c r="B84" s="57" t="s">
        <v>119</v>
      </c>
      <c r="C84" s="57">
        <v>212</v>
      </c>
      <c r="D84" s="57"/>
      <c r="E84" s="143">
        <f>SUM(E85:E87)</f>
        <v>14.52</v>
      </c>
      <c r="F84" s="143">
        <f>SUM(F85:F87)</f>
        <v>0</v>
      </c>
      <c r="G84" s="143">
        <f>SUM(G85:G87)</f>
        <v>73.4</v>
      </c>
      <c r="H84" s="143">
        <f>SUM(H85:H87)</f>
        <v>0</v>
      </c>
      <c r="I84" s="143">
        <f t="shared" si="0"/>
        <v>87.92</v>
      </c>
      <c r="J84" s="59">
        <f>I84/12</f>
        <v>7.326666666666667</v>
      </c>
      <c r="K84" s="94"/>
      <c r="L84" s="13"/>
      <c r="M84" s="13"/>
      <c r="N84" s="95"/>
    </row>
    <row r="85" spans="1:14" s="3" customFormat="1" ht="15.75">
      <c r="A85" s="57"/>
      <c r="B85" s="106" t="s">
        <v>247</v>
      </c>
      <c r="C85" s="108"/>
      <c r="D85" s="59">
        <v>101</v>
      </c>
      <c r="E85" s="143"/>
      <c r="F85" s="143"/>
      <c r="G85" s="143">
        <f>73400/1000</f>
        <v>73.4</v>
      </c>
      <c r="H85" s="143"/>
      <c r="I85" s="143">
        <f>SUM(E85:H85)</f>
        <v>73.4</v>
      </c>
      <c r="J85" s="59"/>
      <c r="K85" s="94"/>
      <c r="L85" s="13"/>
      <c r="M85" s="13"/>
      <c r="N85" s="95"/>
    </row>
    <row r="86" spans="1:14" s="3" customFormat="1" ht="15.75">
      <c r="A86" s="57"/>
      <c r="B86" s="106" t="s">
        <v>248</v>
      </c>
      <c r="C86" s="108"/>
      <c r="D86" s="59">
        <v>102</v>
      </c>
      <c r="E86" s="143">
        <f>13200/1000+0.3</f>
        <v>13.5</v>
      </c>
      <c r="F86" s="143"/>
      <c r="G86" s="143"/>
      <c r="H86" s="143"/>
      <c r="I86" s="143">
        <f>SUM(E86:H86)</f>
        <v>13.5</v>
      </c>
      <c r="J86" s="59"/>
      <c r="K86" s="94"/>
      <c r="L86" s="13"/>
      <c r="M86" s="13"/>
      <c r="N86" s="95"/>
    </row>
    <row r="87" spans="1:14" s="3" customFormat="1" ht="15.75">
      <c r="A87" s="57"/>
      <c r="B87" s="106" t="s">
        <v>251</v>
      </c>
      <c r="C87" s="108"/>
      <c r="D87" s="59">
        <v>104</v>
      </c>
      <c r="E87" s="143">
        <f>2100/1000-1.08</f>
        <v>1.02</v>
      </c>
      <c r="F87" s="143"/>
      <c r="G87" s="143"/>
      <c r="H87" s="143"/>
      <c r="I87" s="143">
        <f>SUM(E87:H87)</f>
        <v>1.02</v>
      </c>
      <c r="J87" s="59"/>
      <c r="K87" s="94"/>
      <c r="L87" s="13"/>
      <c r="M87" s="13"/>
      <c r="N87" s="95"/>
    </row>
    <row r="88" spans="1:14" s="3" customFormat="1" ht="15.75">
      <c r="A88" s="57"/>
      <c r="B88" s="106" t="s">
        <v>271</v>
      </c>
      <c r="C88" s="108"/>
      <c r="D88" s="59">
        <v>103</v>
      </c>
      <c r="E88" s="143"/>
      <c r="F88" s="143"/>
      <c r="G88" s="143"/>
      <c r="H88" s="143"/>
      <c r="I88" s="143"/>
      <c r="J88" s="59"/>
      <c r="K88" s="94"/>
      <c r="L88" s="13"/>
      <c r="M88" s="13"/>
      <c r="N88" s="95"/>
    </row>
    <row r="89" spans="1:14" s="3" customFormat="1" ht="15.75">
      <c r="A89" s="57"/>
      <c r="B89" s="57" t="s">
        <v>256</v>
      </c>
      <c r="C89" s="57">
        <v>222</v>
      </c>
      <c r="D89" s="57"/>
      <c r="E89" s="143">
        <f>E90</f>
        <v>3</v>
      </c>
      <c r="F89" s="143">
        <f>F90</f>
        <v>0</v>
      </c>
      <c r="G89" s="143">
        <f>G90</f>
        <v>0</v>
      </c>
      <c r="H89" s="143">
        <f>H90</f>
        <v>0</v>
      </c>
      <c r="I89" s="143">
        <f>SUM(E89:H89)</f>
        <v>3</v>
      </c>
      <c r="J89" s="59"/>
      <c r="K89" s="94"/>
      <c r="L89" s="13"/>
      <c r="M89" s="13"/>
      <c r="N89" s="95"/>
    </row>
    <row r="90" spans="1:14" s="3" customFormat="1" ht="15.75">
      <c r="A90" s="57"/>
      <c r="B90" s="106" t="s">
        <v>257</v>
      </c>
      <c r="C90" s="59"/>
      <c r="D90" s="59">
        <v>104</v>
      </c>
      <c r="E90" s="143">
        <f>3200/1000-0.2</f>
        <v>3</v>
      </c>
      <c r="F90" s="143"/>
      <c r="G90" s="143"/>
      <c r="H90" s="143"/>
      <c r="I90" s="143">
        <f>SUM(E90:H90)</f>
        <v>3</v>
      </c>
      <c r="J90" s="59"/>
      <c r="K90" s="94"/>
      <c r="L90" s="13"/>
      <c r="M90" s="13"/>
      <c r="N90" s="95"/>
    </row>
    <row r="91" spans="1:14" s="3" customFormat="1" ht="15.75">
      <c r="A91" s="57"/>
      <c r="B91" s="57" t="s">
        <v>120</v>
      </c>
      <c r="C91" s="57">
        <v>223</v>
      </c>
      <c r="D91" s="57"/>
      <c r="E91" s="143">
        <f>SUM(E92:E96)</f>
        <v>264.68023</v>
      </c>
      <c r="F91" s="143">
        <f>SUM(F92:F96)</f>
        <v>227.05</v>
      </c>
      <c r="G91" s="143">
        <f>SUM(G92:G96)</f>
        <v>158.83977000000002</v>
      </c>
      <c r="H91" s="143">
        <f>SUM(H92:H96)</f>
        <v>264.35</v>
      </c>
      <c r="I91" s="143">
        <f>SUM(I92:I96)</f>
        <v>914.9200000000001</v>
      </c>
      <c r="J91" s="59">
        <f>I91/12</f>
        <v>76.24333333333334</v>
      </c>
      <c r="K91" s="13"/>
      <c r="L91" s="13"/>
      <c r="M91" s="13"/>
      <c r="N91" s="95"/>
    </row>
    <row r="92" spans="1:14" s="3" customFormat="1" ht="15.75">
      <c r="A92" s="59"/>
      <c r="B92" s="72" t="s">
        <v>121</v>
      </c>
      <c r="C92" s="72">
        <v>221</v>
      </c>
      <c r="D92" s="72"/>
      <c r="E92" s="143">
        <f>4050/1000+8.83+12.26+0.39023</f>
        <v>25.53023</v>
      </c>
      <c r="F92" s="143">
        <f>4050/1000</f>
        <v>4.05</v>
      </c>
      <c r="G92" s="143">
        <f>4050/1000+9.98977+2.62738</f>
        <v>16.66715</v>
      </c>
      <c r="H92" s="143">
        <f>4050/1000</f>
        <v>4.05</v>
      </c>
      <c r="I92" s="145">
        <f>SUM(E92:H92)</f>
        <v>50.29738</v>
      </c>
      <c r="J92" s="59">
        <f>I92/12</f>
        <v>4.191448333333333</v>
      </c>
      <c r="K92" s="93"/>
      <c r="L92" s="13"/>
      <c r="M92" s="13"/>
      <c r="N92" s="95"/>
    </row>
    <row r="93" spans="1:14" s="3" customFormat="1" ht="15.75">
      <c r="A93" s="59"/>
      <c r="B93" s="72" t="s">
        <v>122</v>
      </c>
      <c r="C93" s="72"/>
      <c r="D93" s="72">
        <v>110</v>
      </c>
      <c r="E93" s="143">
        <f>5000/1000</f>
        <v>5</v>
      </c>
      <c r="F93" s="143"/>
      <c r="G93" s="143">
        <f>4200/1000</f>
        <v>4.2</v>
      </c>
      <c r="H93" s="143"/>
      <c r="I93" s="145">
        <f>SUM(E93:H93)</f>
        <v>9.2</v>
      </c>
      <c r="J93" s="59">
        <f>I93/12</f>
        <v>0.7666666666666666</v>
      </c>
      <c r="K93" s="93"/>
      <c r="L93" s="13"/>
      <c r="M93" s="13"/>
      <c r="N93" s="95"/>
    </row>
    <row r="94" spans="1:14" s="3" customFormat="1" ht="15.75">
      <c r="A94" s="59"/>
      <c r="B94" s="72" t="s">
        <v>183</v>
      </c>
      <c r="C94" s="72"/>
      <c r="D94" s="72">
        <v>127</v>
      </c>
      <c r="E94" s="143"/>
      <c r="F94" s="143"/>
      <c r="G94" s="143"/>
      <c r="H94" s="143"/>
      <c r="I94" s="145">
        <f>SUM(E94:H94)</f>
        <v>0</v>
      </c>
      <c r="J94" s="59"/>
      <c r="K94" s="93"/>
      <c r="L94" s="20"/>
      <c r="M94" s="13"/>
      <c r="N94" s="95"/>
    </row>
    <row r="95" spans="1:14" s="3" customFormat="1" ht="15.75">
      <c r="A95" s="59"/>
      <c r="B95" s="72" t="s">
        <v>123</v>
      </c>
      <c r="C95" s="72"/>
      <c r="D95" s="72">
        <v>107</v>
      </c>
      <c r="E95" s="143">
        <f>213150/1000</f>
        <v>213.15</v>
      </c>
      <c r="F95" s="143">
        <f>213000/1000</f>
        <v>213</v>
      </c>
      <c r="G95" s="143">
        <f>137100/1000-4.12738</f>
        <v>132.97262</v>
      </c>
      <c r="H95" s="143">
        <f>237100/1000</f>
        <v>237.1</v>
      </c>
      <c r="I95" s="145">
        <f>SUM(E95:H95)</f>
        <v>796.22262</v>
      </c>
      <c r="J95" s="59">
        <f>I95/12</f>
        <v>66.351885</v>
      </c>
      <c r="K95" s="93"/>
      <c r="L95" s="13"/>
      <c r="M95" s="13"/>
      <c r="N95" s="95"/>
    </row>
    <row r="96" spans="1:14" s="3" customFormat="1" ht="15.75">
      <c r="A96" s="59"/>
      <c r="B96" s="72" t="s">
        <v>124</v>
      </c>
      <c r="C96" s="72"/>
      <c r="D96" s="72">
        <v>109</v>
      </c>
      <c r="E96" s="143">
        <f>21000/1000</f>
        <v>21</v>
      </c>
      <c r="F96" s="143">
        <f>10000/1000</f>
        <v>10</v>
      </c>
      <c r="G96" s="143">
        <f>5000/1000</f>
        <v>5</v>
      </c>
      <c r="H96" s="143">
        <f>23200/1000</f>
        <v>23.2</v>
      </c>
      <c r="I96" s="145">
        <f>SUM(E96:H96)</f>
        <v>59.2</v>
      </c>
      <c r="J96" s="59">
        <f>I96/12</f>
        <v>4.933333333333334</v>
      </c>
      <c r="K96" s="93"/>
      <c r="L96" s="13"/>
      <c r="M96" s="13"/>
      <c r="N96" s="95"/>
    </row>
    <row r="97" spans="1:14" s="3" customFormat="1" ht="15.75">
      <c r="A97" s="57"/>
      <c r="B97" s="57" t="s">
        <v>127</v>
      </c>
      <c r="C97" s="57">
        <v>225</v>
      </c>
      <c r="D97" s="57"/>
      <c r="E97" s="143">
        <f>SUM(E98:E107)</f>
        <v>23.98977</v>
      </c>
      <c r="F97" s="143">
        <f>SUM(F98:F107)</f>
        <v>0</v>
      </c>
      <c r="G97" s="143">
        <f>SUM(G98:G107)</f>
        <v>0</v>
      </c>
      <c r="H97" s="143">
        <f>SUM(H98:H107)</f>
        <v>0</v>
      </c>
      <c r="I97" s="143">
        <f>SUM(I98:I107)</f>
        <v>23.98977</v>
      </c>
      <c r="J97" s="59">
        <f aca="true" t="shared" si="1" ref="J97:J102">I97/12</f>
        <v>1.9991475</v>
      </c>
      <c r="K97" s="13"/>
      <c r="L97" s="13"/>
      <c r="M97" s="13"/>
      <c r="N97" s="95"/>
    </row>
    <row r="98" spans="1:14" s="3" customFormat="1" ht="15.75">
      <c r="A98" s="59"/>
      <c r="B98" s="72" t="s">
        <v>252</v>
      </c>
      <c r="C98" s="72"/>
      <c r="D98" s="72">
        <v>129</v>
      </c>
      <c r="E98" s="143">
        <f>5600/1000</f>
        <v>5.6</v>
      </c>
      <c r="F98" s="143"/>
      <c r="G98" s="143"/>
      <c r="H98" s="143"/>
      <c r="I98" s="145">
        <f aca="true" t="shared" si="2" ref="I98:I107">SUM(E98:H98)</f>
        <v>5.6</v>
      </c>
      <c r="J98" s="59">
        <f t="shared" si="1"/>
        <v>0.4666666666666666</v>
      </c>
      <c r="K98" s="13"/>
      <c r="L98" s="13"/>
      <c r="M98" s="13"/>
      <c r="N98" s="95"/>
    </row>
    <row r="99" spans="1:14" s="3" customFormat="1" ht="15.75">
      <c r="A99" s="59"/>
      <c r="B99" s="72"/>
      <c r="C99" s="72"/>
      <c r="D99" s="72"/>
      <c r="E99" s="143"/>
      <c r="F99" s="143"/>
      <c r="G99" s="143"/>
      <c r="H99" s="143"/>
      <c r="I99" s="145">
        <f t="shared" si="2"/>
        <v>0</v>
      </c>
      <c r="J99" s="59">
        <f t="shared" si="1"/>
        <v>0</v>
      </c>
      <c r="K99" s="13"/>
      <c r="L99" s="13"/>
      <c r="M99" s="13"/>
      <c r="N99" s="95"/>
    </row>
    <row r="100" spans="1:14" s="3" customFormat="1" ht="15.75">
      <c r="A100" s="59"/>
      <c r="B100" s="72" t="s">
        <v>126</v>
      </c>
      <c r="C100" s="72"/>
      <c r="D100" s="72">
        <v>111</v>
      </c>
      <c r="E100" s="143">
        <f>20000/1000-1.61023</f>
        <v>18.38977</v>
      </c>
      <c r="F100" s="143"/>
      <c r="G100" s="143">
        <f>17700/1000-17.7</f>
        <v>0</v>
      </c>
      <c r="H100" s="143"/>
      <c r="I100" s="145">
        <f t="shared" si="2"/>
        <v>18.38977</v>
      </c>
      <c r="J100" s="59">
        <f t="shared" si="1"/>
        <v>1.5324808333333333</v>
      </c>
      <c r="K100" s="13"/>
      <c r="L100" s="13"/>
      <c r="M100" s="13"/>
      <c r="N100" s="95"/>
    </row>
    <row r="101" spans="1:14" s="3" customFormat="1" ht="15.75">
      <c r="A101" s="59"/>
      <c r="B101" s="72" t="s">
        <v>244</v>
      </c>
      <c r="C101" s="72"/>
      <c r="D101" s="72"/>
      <c r="E101" s="143"/>
      <c r="F101" s="143"/>
      <c r="G101" s="143"/>
      <c r="H101" s="143"/>
      <c r="I101" s="145">
        <f t="shared" si="2"/>
        <v>0</v>
      </c>
      <c r="J101" s="59">
        <f t="shared" si="1"/>
        <v>0</v>
      </c>
      <c r="K101" s="13"/>
      <c r="L101" s="13"/>
      <c r="M101" s="13"/>
      <c r="N101" s="95"/>
    </row>
    <row r="102" spans="1:14" s="3" customFormat="1" ht="15.75">
      <c r="A102" s="59"/>
      <c r="B102" s="72" t="s">
        <v>128</v>
      </c>
      <c r="C102" s="72"/>
      <c r="D102" s="72"/>
      <c r="E102" s="143"/>
      <c r="F102" s="143"/>
      <c r="G102" s="143"/>
      <c r="H102" s="143"/>
      <c r="I102" s="145">
        <f t="shared" si="2"/>
        <v>0</v>
      </c>
      <c r="J102" s="59">
        <f t="shared" si="1"/>
        <v>0</v>
      </c>
      <c r="K102" s="93"/>
      <c r="L102" s="13"/>
      <c r="M102" s="13"/>
      <c r="N102" s="95"/>
    </row>
    <row r="103" spans="1:14" s="3" customFormat="1" ht="15.75">
      <c r="A103" s="59"/>
      <c r="B103" s="72" t="s">
        <v>216</v>
      </c>
      <c r="C103" s="72"/>
      <c r="D103" s="72"/>
      <c r="E103" s="143"/>
      <c r="F103" s="143"/>
      <c r="G103" s="143"/>
      <c r="H103" s="143"/>
      <c r="I103" s="145">
        <f t="shared" si="2"/>
        <v>0</v>
      </c>
      <c r="J103" s="59"/>
      <c r="K103" s="93"/>
      <c r="L103" s="13"/>
      <c r="M103" s="13"/>
      <c r="N103" s="95"/>
    </row>
    <row r="104" spans="1:14" s="3" customFormat="1" ht="31.5">
      <c r="A104" s="59"/>
      <c r="B104" s="72" t="s">
        <v>129</v>
      </c>
      <c r="C104" s="72"/>
      <c r="D104" s="72"/>
      <c r="E104" s="143"/>
      <c r="F104" s="143"/>
      <c r="G104" s="143"/>
      <c r="H104" s="143"/>
      <c r="I104" s="145">
        <f t="shared" si="2"/>
        <v>0</v>
      </c>
      <c r="J104" s="59">
        <f>I104/12</f>
        <v>0</v>
      </c>
      <c r="K104" s="13"/>
      <c r="L104" s="13"/>
      <c r="M104" s="13"/>
      <c r="N104" s="95"/>
    </row>
    <row r="105" spans="1:14" s="3" customFormat="1" ht="15.75">
      <c r="A105" s="59"/>
      <c r="B105" s="72" t="s">
        <v>130</v>
      </c>
      <c r="C105" s="72"/>
      <c r="D105" s="72"/>
      <c r="E105" s="143"/>
      <c r="F105" s="143"/>
      <c r="G105" s="143"/>
      <c r="H105" s="143"/>
      <c r="I105" s="145">
        <f t="shared" si="2"/>
        <v>0</v>
      </c>
      <c r="J105" s="59">
        <f>I105/12</f>
        <v>0</v>
      </c>
      <c r="K105" s="13"/>
      <c r="L105" s="13"/>
      <c r="M105" s="13"/>
      <c r="N105" s="95"/>
    </row>
    <row r="106" spans="1:14" s="3" customFormat="1" ht="15.75">
      <c r="A106" s="59"/>
      <c r="B106" s="72" t="s">
        <v>184</v>
      </c>
      <c r="C106" s="72"/>
      <c r="D106" s="72"/>
      <c r="E106" s="143"/>
      <c r="F106" s="143"/>
      <c r="G106" s="143"/>
      <c r="H106" s="143"/>
      <c r="I106" s="145">
        <f t="shared" si="2"/>
        <v>0</v>
      </c>
      <c r="J106" s="59"/>
      <c r="K106" s="93"/>
      <c r="L106" s="13"/>
      <c r="M106" s="13"/>
      <c r="N106" s="95"/>
    </row>
    <row r="107" spans="1:14" s="3" customFormat="1" ht="15.75">
      <c r="A107" s="59"/>
      <c r="B107" s="72" t="s">
        <v>131</v>
      </c>
      <c r="C107" s="72"/>
      <c r="D107" s="72"/>
      <c r="E107" s="143"/>
      <c r="F107" s="143"/>
      <c r="G107" s="143"/>
      <c r="H107" s="143"/>
      <c r="I107" s="145">
        <f t="shared" si="2"/>
        <v>0</v>
      </c>
      <c r="J107" s="59">
        <f aca="true" t="shared" si="3" ref="J107:J112">I107/12</f>
        <v>0</v>
      </c>
      <c r="K107" s="93"/>
      <c r="L107" s="13"/>
      <c r="M107" s="13"/>
      <c r="N107" s="95"/>
    </row>
    <row r="108" spans="1:14" s="3" customFormat="1" ht="15.75">
      <c r="A108" s="57"/>
      <c r="B108" s="57" t="s">
        <v>125</v>
      </c>
      <c r="C108" s="57">
        <v>226</v>
      </c>
      <c r="D108" s="57"/>
      <c r="E108" s="143">
        <f>SUM(E109:E116)</f>
        <v>47.11</v>
      </c>
      <c r="F108" s="143">
        <f>SUM(F109:F116)</f>
        <v>14</v>
      </c>
      <c r="G108" s="143">
        <f>SUM(G109:G116)</f>
        <v>31.648199999999996</v>
      </c>
      <c r="H108" s="143">
        <f>SUM(H109:H116)</f>
        <v>14</v>
      </c>
      <c r="I108" s="143">
        <f>SUM(I109:I116)</f>
        <v>106.75819999999999</v>
      </c>
      <c r="J108" s="59">
        <f t="shared" si="3"/>
        <v>8.896516666666665</v>
      </c>
      <c r="K108" s="13"/>
      <c r="L108" s="13"/>
      <c r="M108" s="13"/>
      <c r="N108" s="95"/>
    </row>
    <row r="109" spans="1:14" s="3" customFormat="1" ht="15.75">
      <c r="A109" s="59"/>
      <c r="B109" s="72" t="s">
        <v>253</v>
      </c>
      <c r="C109" s="107"/>
      <c r="D109" s="72">
        <v>104</v>
      </c>
      <c r="E109" s="143">
        <f>600/1000+2.2</f>
        <v>2.8000000000000003</v>
      </c>
      <c r="F109" s="143"/>
      <c r="G109" s="143"/>
      <c r="H109" s="143"/>
      <c r="I109" s="145">
        <f aca="true" t="shared" si="4" ref="I109:I117">SUM(E109:H109)</f>
        <v>2.8000000000000003</v>
      </c>
      <c r="J109" s="59">
        <f t="shared" si="3"/>
        <v>0.23333333333333336</v>
      </c>
      <c r="K109" s="13"/>
      <c r="L109" s="13"/>
      <c r="M109" s="13"/>
      <c r="N109" s="95"/>
    </row>
    <row r="110" spans="1:14" s="3" customFormat="1" ht="15.75">
      <c r="A110" s="59"/>
      <c r="B110" s="72" t="s">
        <v>246</v>
      </c>
      <c r="C110" s="72"/>
      <c r="D110" s="72">
        <v>137</v>
      </c>
      <c r="E110" s="143">
        <f>3200/1000</f>
        <v>3.2</v>
      </c>
      <c r="F110" s="143"/>
      <c r="G110" s="143"/>
      <c r="H110" s="143"/>
      <c r="I110" s="145">
        <f t="shared" si="4"/>
        <v>3.2</v>
      </c>
      <c r="J110" s="59">
        <f t="shared" si="3"/>
        <v>0.26666666666666666</v>
      </c>
      <c r="K110" s="13"/>
      <c r="L110" s="13"/>
      <c r="M110" s="13"/>
      <c r="N110" s="95"/>
    </row>
    <row r="111" spans="1:14" s="3" customFormat="1" ht="15.75">
      <c r="A111" s="59"/>
      <c r="B111" s="72" t="s">
        <v>126</v>
      </c>
      <c r="C111" s="72"/>
      <c r="D111" s="107" t="s">
        <v>272</v>
      </c>
      <c r="E111" s="143">
        <f>25000/1000</f>
        <v>25</v>
      </c>
      <c r="F111" s="143"/>
      <c r="G111" s="143">
        <f>24400/1000-8.9418</f>
        <v>15.458199999999998</v>
      </c>
      <c r="H111" s="143"/>
      <c r="I111" s="145">
        <f t="shared" si="4"/>
        <v>40.4582</v>
      </c>
      <c r="J111" s="59">
        <f t="shared" si="3"/>
        <v>3.3715166666666665</v>
      </c>
      <c r="K111" s="93"/>
      <c r="L111" s="13"/>
      <c r="M111" s="93"/>
      <c r="N111" s="95"/>
    </row>
    <row r="112" spans="1:14" s="3" customFormat="1" ht="15.75">
      <c r="A112" s="59"/>
      <c r="B112" s="72" t="s">
        <v>245</v>
      </c>
      <c r="C112" s="72"/>
      <c r="D112" s="72"/>
      <c r="E112" s="143"/>
      <c r="F112" s="143"/>
      <c r="G112" s="143"/>
      <c r="H112" s="143"/>
      <c r="I112" s="145">
        <f t="shared" si="4"/>
        <v>0</v>
      </c>
      <c r="J112" s="59">
        <f t="shared" si="3"/>
        <v>0</v>
      </c>
      <c r="K112" s="13"/>
      <c r="L112" s="13"/>
      <c r="M112" s="13"/>
      <c r="N112" s="95"/>
    </row>
    <row r="113" spans="1:14" s="3" customFormat="1" ht="15.75">
      <c r="A113" s="59"/>
      <c r="B113" s="72" t="s">
        <v>217</v>
      </c>
      <c r="C113" s="72"/>
      <c r="D113" s="72"/>
      <c r="E113" s="143"/>
      <c r="F113" s="143"/>
      <c r="G113" s="143"/>
      <c r="H113" s="143"/>
      <c r="I113" s="145">
        <f t="shared" si="4"/>
        <v>0</v>
      </c>
      <c r="J113" s="59"/>
      <c r="K113" s="13"/>
      <c r="L113" s="13"/>
      <c r="M113" s="13"/>
      <c r="N113" s="95"/>
    </row>
    <row r="114" spans="1:14" s="3" customFormat="1" ht="15.75">
      <c r="A114" s="59"/>
      <c r="B114" s="72" t="s">
        <v>261</v>
      </c>
      <c r="C114" s="72"/>
      <c r="D114" s="72"/>
      <c r="E114" s="143"/>
      <c r="F114" s="143"/>
      <c r="G114" s="143"/>
      <c r="H114" s="143"/>
      <c r="I114" s="145">
        <f t="shared" si="4"/>
        <v>0</v>
      </c>
      <c r="J114" s="59"/>
      <c r="K114" s="13"/>
      <c r="L114" s="13"/>
      <c r="M114" s="13"/>
      <c r="N114" s="95"/>
    </row>
    <row r="115" spans="1:14" s="3" customFormat="1" ht="31.5">
      <c r="A115" s="59"/>
      <c r="B115" s="72" t="s">
        <v>185</v>
      </c>
      <c r="C115" s="107"/>
      <c r="D115" s="107" t="s">
        <v>272</v>
      </c>
      <c r="E115" s="143">
        <f>14000/1000+2.11</f>
        <v>16.11</v>
      </c>
      <c r="F115" s="143">
        <f>14000/1000</f>
        <v>14</v>
      </c>
      <c r="G115" s="143">
        <f>10100/1000+4.59+1.5</f>
        <v>16.189999999999998</v>
      </c>
      <c r="H115" s="143">
        <f>14000/1000</f>
        <v>14</v>
      </c>
      <c r="I115" s="145">
        <f t="shared" si="4"/>
        <v>60.3</v>
      </c>
      <c r="J115" s="59"/>
      <c r="K115" s="93"/>
      <c r="L115" s="13"/>
      <c r="M115" s="13"/>
      <c r="N115" s="95"/>
    </row>
    <row r="116" spans="1:14" s="3" customFormat="1" ht="15.75">
      <c r="A116" s="59"/>
      <c r="B116" s="72" t="s">
        <v>252</v>
      </c>
      <c r="C116" s="107"/>
      <c r="D116" s="107" t="s">
        <v>272</v>
      </c>
      <c r="E116" s="143"/>
      <c r="F116" s="143"/>
      <c r="G116" s="143"/>
      <c r="H116" s="143"/>
      <c r="I116" s="145">
        <f t="shared" si="4"/>
        <v>0</v>
      </c>
      <c r="J116" s="59">
        <f>I116/9</f>
        <v>0</v>
      </c>
      <c r="K116" s="93"/>
      <c r="L116" s="13"/>
      <c r="M116" s="13"/>
      <c r="N116" s="95"/>
    </row>
    <row r="117" spans="1:14" s="3" customFormat="1" ht="15.75">
      <c r="A117" s="59"/>
      <c r="B117" s="73" t="s">
        <v>215</v>
      </c>
      <c r="C117" s="73"/>
      <c r="D117" s="73"/>
      <c r="E117" s="143"/>
      <c r="F117" s="143"/>
      <c r="G117" s="143"/>
      <c r="H117" s="143"/>
      <c r="I117" s="145">
        <f t="shared" si="4"/>
        <v>0</v>
      </c>
      <c r="J117" s="59">
        <f>I117/9</f>
        <v>0</v>
      </c>
      <c r="K117" s="93"/>
      <c r="L117" s="13"/>
      <c r="M117" s="13"/>
      <c r="N117" s="95"/>
    </row>
    <row r="118" spans="1:14" s="3" customFormat="1" ht="15.75">
      <c r="A118" s="57"/>
      <c r="B118" s="57" t="s">
        <v>132</v>
      </c>
      <c r="C118" s="57">
        <v>290</v>
      </c>
      <c r="D118" s="57"/>
      <c r="E118" s="143">
        <f>SUM(E119:E121)</f>
        <v>2.8</v>
      </c>
      <c r="F118" s="143">
        <f>SUM(F119:F121)</f>
        <v>0</v>
      </c>
      <c r="G118" s="143">
        <f>SUM(G119:G121)</f>
        <v>6</v>
      </c>
      <c r="H118" s="143">
        <f>SUM(H119:H121)</f>
        <v>0</v>
      </c>
      <c r="I118" s="143">
        <f>SUM(I119:I121)</f>
        <v>8.8</v>
      </c>
      <c r="J118" s="59">
        <f>I118/12</f>
        <v>0.7333333333333334</v>
      </c>
      <c r="K118" s="13"/>
      <c r="L118" s="13"/>
      <c r="M118" s="13"/>
      <c r="N118" s="95"/>
    </row>
    <row r="119" spans="1:14" s="3" customFormat="1" ht="15.75">
      <c r="A119" s="59"/>
      <c r="B119" s="72" t="s">
        <v>133</v>
      </c>
      <c r="C119" s="72"/>
      <c r="D119" s="72">
        <v>143</v>
      </c>
      <c r="E119" s="143"/>
      <c r="F119" s="143"/>
      <c r="G119" s="143"/>
      <c r="H119" s="143"/>
      <c r="I119" s="143">
        <f>SUM(E119:H119)</f>
        <v>0</v>
      </c>
      <c r="J119" s="59">
        <f>I119/12</f>
        <v>0</v>
      </c>
      <c r="K119" s="93"/>
      <c r="L119" s="13"/>
      <c r="M119" s="13"/>
      <c r="N119" s="95"/>
    </row>
    <row r="120" spans="1:14" s="3" customFormat="1" ht="31.5">
      <c r="A120" s="59"/>
      <c r="B120" s="72" t="s">
        <v>254</v>
      </c>
      <c r="C120" s="72"/>
      <c r="D120" s="72">
        <v>143</v>
      </c>
      <c r="E120" s="143">
        <f>2800/1000</f>
        <v>2.8</v>
      </c>
      <c r="F120" s="143"/>
      <c r="G120" s="143">
        <v>6</v>
      </c>
      <c r="H120" s="143"/>
      <c r="I120" s="143">
        <f>SUM(E120:H120)</f>
        <v>8.8</v>
      </c>
      <c r="J120" s="59"/>
      <c r="K120" s="93"/>
      <c r="L120" s="13"/>
      <c r="M120" s="13"/>
      <c r="N120" s="95"/>
    </row>
    <row r="121" spans="1:14" s="3" customFormat="1" ht="15.75">
      <c r="A121" s="59"/>
      <c r="B121" s="72" t="s">
        <v>134</v>
      </c>
      <c r="C121" s="72"/>
      <c r="D121" s="72"/>
      <c r="E121" s="143"/>
      <c r="F121" s="143"/>
      <c r="G121" s="143"/>
      <c r="H121" s="143"/>
      <c r="I121" s="145">
        <f aca="true" t="shared" si="5" ref="I121:I137">SUM(E121:H121)</f>
        <v>0</v>
      </c>
      <c r="J121" s="59">
        <f aca="true" t="shared" si="6" ref="J121:J127">I121/12</f>
        <v>0</v>
      </c>
      <c r="K121" s="13"/>
      <c r="L121" s="13"/>
      <c r="M121" s="13"/>
      <c r="N121" s="95"/>
    </row>
    <row r="122" spans="1:14" s="3" customFormat="1" ht="15.75">
      <c r="A122" s="57"/>
      <c r="B122" s="57" t="s">
        <v>135</v>
      </c>
      <c r="C122" s="57"/>
      <c r="D122" s="57"/>
      <c r="E122" s="143">
        <f>SUM(E123:E137)</f>
        <v>107.5</v>
      </c>
      <c r="F122" s="143">
        <f>SUM(F123:F137)</f>
        <v>65</v>
      </c>
      <c r="G122" s="143">
        <f>SUM(G123:G137)</f>
        <v>47.16203</v>
      </c>
      <c r="H122" s="143">
        <f>SUM(H123:H137)</f>
        <v>116.6</v>
      </c>
      <c r="I122" s="143">
        <f>SUM(I123:I137)</f>
        <v>336.26203000000004</v>
      </c>
      <c r="J122" s="59">
        <f t="shared" si="6"/>
        <v>28.021835833333338</v>
      </c>
      <c r="K122" s="13"/>
      <c r="L122" s="13"/>
      <c r="M122" s="13"/>
      <c r="N122" s="95"/>
    </row>
    <row r="123" spans="1:14" s="3" customFormat="1" ht="15.75">
      <c r="A123" s="59"/>
      <c r="B123" s="72" t="s">
        <v>243</v>
      </c>
      <c r="C123" s="72">
        <v>310</v>
      </c>
      <c r="D123" s="72"/>
      <c r="E123" s="143"/>
      <c r="F123" s="143"/>
      <c r="G123" s="143"/>
      <c r="H123" s="143"/>
      <c r="I123" s="145">
        <f t="shared" si="5"/>
        <v>0</v>
      </c>
      <c r="J123" s="59">
        <f t="shared" si="6"/>
        <v>0</v>
      </c>
      <c r="K123" s="13"/>
      <c r="L123" s="13"/>
      <c r="M123" s="13"/>
      <c r="N123" s="95"/>
    </row>
    <row r="124" spans="1:14" s="3" customFormat="1" ht="15.75">
      <c r="A124" s="59"/>
      <c r="B124" s="72" t="s">
        <v>241</v>
      </c>
      <c r="C124" s="72"/>
      <c r="D124" s="72">
        <v>116</v>
      </c>
      <c r="E124" s="143"/>
      <c r="F124" s="143"/>
      <c r="G124" s="143"/>
      <c r="H124" s="143"/>
      <c r="I124" s="145">
        <f t="shared" si="5"/>
        <v>0</v>
      </c>
      <c r="J124" s="59">
        <f t="shared" si="6"/>
        <v>0</v>
      </c>
      <c r="K124" s="93"/>
      <c r="L124" s="13"/>
      <c r="M124" s="13"/>
      <c r="N124" s="95"/>
    </row>
    <row r="125" spans="1:14" s="3" customFormat="1" ht="15.75">
      <c r="A125" s="59"/>
      <c r="B125" s="72" t="s">
        <v>252</v>
      </c>
      <c r="C125" s="72"/>
      <c r="D125" s="72"/>
      <c r="E125" s="143">
        <f>8200/1000-8.2</f>
        <v>0</v>
      </c>
      <c r="F125" s="143"/>
      <c r="G125" s="143"/>
      <c r="H125" s="143"/>
      <c r="I125" s="145">
        <f t="shared" si="5"/>
        <v>0</v>
      </c>
      <c r="J125" s="59"/>
      <c r="K125" s="93"/>
      <c r="L125" s="13"/>
      <c r="M125" s="13"/>
      <c r="N125" s="95"/>
    </row>
    <row r="126" spans="1:14" s="3" customFormat="1" ht="15.75">
      <c r="A126" s="59"/>
      <c r="B126" s="72" t="s">
        <v>136</v>
      </c>
      <c r="C126" s="72">
        <v>340</v>
      </c>
      <c r="D126" s="72">
        <v>119</v>
      </c>
      <c r="E126" s="143">
        <f>500/1000</f>
        <v>0.5</v>
      </c>
      <c r="F126" s="143"/>
      <c r="G126" s="143">
        <f>1300/1000</f>
        <v>1.3</v>
      </c>
      <c r="H126" s="143"/>
      <c r="I126" s="145">
        <f t="shared" si="5"/>
        <v>1.8</v>
      </c>
      <c r="J126" s="59">
        <f t="shared" si="6"/>
        <v>0.15</v>
      </c>
      <c r="K126" s="93"/>
      <c r="L126" s="13"/>
      <c r="M126" s="13"/>
      <c r="N126" s="95"/>
    </row>
    <row r="127" spans="1:14" s="3" customFormat="1" ht="15.75">
      <c r="A127" s="59"/>
      <c r="B127" s="72" t="s">
        <v>137</v>
      </c>
      <c r="C127" s="72"/>
      <c r="D127" s="72">
        <v>123</v>
      </c>
      <c r="E127" s="143"/>
      <c r="F127" s="143"/>
      <c r="G127" s="143"/>
      <c r="H127" s="143"/>
      <c r="I127" s="145">
        <f t="shared" si="5"/>
        <v>0</v>
      </c>
      <c r="J127" s="59">
        <f t="shared" si="6"/>
        <v>0</v>
      </c>
      <c r="K127" s="93"/>
      <c r="L127" s="13"/>
      <c r="M127" s="13"/>
      <c r="N127" s="95"/>
    </row>
    <row r="128" spans="1:14" s="3" customFormat="1" ht="15.75">
      <c r="A128" s="59"/>
      <c r="B128" s="72" t="s">
        <v>181</v>
      </c>
      <c r="C128" s="72"/>
      <c r="D128" s="72">
        <v>120</v>
      </c>
      <c r="E128" s="143">
        <f>87000/1000+5</f>
        <v>92</v>
      </c>
      <c r="F128" s="143">
        <f>50000/1000+15</f>
        <v>65</v>
      </c>
      <c r="G128" s="143">
        <f>30000/1000+15.86203</f>
        <v>45.862030000000004</v>
      </c>
      <c r="H128" s="143">
        <f>90000/1000+11.6</f>
        <v>101.6</v>
      </c>
      <c r="I128" s="145">
        <f t="shared" si="5"/>
        <v>304.46203</v>
      </c>
      <c r="J128" s="59">
        <f>I128/9</f>
        <v>33.82911444444445</v>
      </c>
      <c r="K128" s="93"/>
      <c r="L128" s="93"/>
      <c r="M128" s="13"/>
      <c r="N128" s="95"/>
    </row>
    <row r="129" spans="1:14" s="3" customFormat="1" ht="15.75">
      <c r="A129" s="59"/>
      <c r="B129" s="72" t="s">
        <v>182</v>
      </c>
      <c r="C129" s="72"/>
      <c r="D129" s="72">
        <v>121</v>
      </c>
      <c r="E129" s="143">
        <f>30000/1000-8.83-6.17</f>
        <v>15.000000000000002</v>
      </c>
      <c r="F129" s="143">
        <f>15000/1000-15</f>
        <v>0</v>
      </c>
      <c r="G129" s="143">
        <f>5000/1000-5</f>
        <v>0</v>
      </c>
      <c r="H129" s="143">
        <f>26600/1000-11.6</f>
        <v>15.000000000000002</v>
      </c>
      <c r="I129" s="145">
        <f t="shared" si="5"/>
        <v>30.000000000000004</v>
      </c>
      <c r="J129" s="59">
        <f aca="true" t="shared" si="7" ref="J129:J137">I129/12</f>
        <v>2.5000000000000004</v>
      </c>
      <c r="K129" s="93"/>
      <c r="L129" s="13"/>
      <c r="M129" s="13"/>
      <c r="N129" s="95"/>
    </row>
    <row r="130" spans="1:14" s="3" customFormat="1" ht="15.75">
      <c r="A130" s="59"/>
      <c r="B130" s="72" t="s">
        <v>255</v>
      </c>
      <c r="C130" s="72"/>
      <c r="D130" s="72">
        <v>123</v>
      </c>
      <c r="E130" s="143">
        <f>5000/1000-5</f>
        <v>0</v>
      </c>
      <c r="F130" s="143">
        <f>15-15</f>
        <v>0</v>
      </c>
      <c r="G130" s="143">
        <f>4800/1000+0.41-5.21</f>
        <v>0</v>
      </c>
      <c r="H130" s="143"/>
      <c r="I130" s="145">
        <f t="shared" si="5"/>
        <v>0</v>
      </c>
      <c r="J130" s="59">
        <f t="shared" si="7"/>
        <v>0</v>
      </c>
      <c r="K130" s="93"/>
      <c r="L130" s="13"/>
      <c r="M130" s="13"/>
      <c r="N130" s="95"/>
    </row>
    <row r="131" spans="1:14" s="3" customFormat="1" ht="15.75" hidden="1">
      <c r="A131" s="59"/>
      <c r="B131" s="72" t="s">
        <v>186</v>
      </c>
      <c r="C131" s="72"/>
      <c r="D131" s="72">
        <v>112</v>
      </c>
      <c r="E131" s="143"/>
      <c r="F131" s="143"/>
      <c r="G131" s="143"/>
      <c r="H131" s="143"/>
      <c r="I131" s="145">
        <f t="shared" si="5"/>
        <v>0</v>
      </c>
      <c r="J131" s="59">
        <f t="shared" si="7"/>
        <v>0</v>
      </c>
      <c r="K131" s="93"/>
      <c r="L131" s="13"/>
      <c r="M131" s="13"/>
      <c r="N131" s="95"/>
    </row>
    <row r="132" spans="1:14" s="3" customFormat="1" ht="15.75" hidden="1">
      <c r="A132" s="59"/>
      <c r="B132" s="72" t="s">
        <v>187</v>
      </c>
      <c r="C132" s="72"/>
      <c r="D132" s="72"/>
      <c r="E132" s="143"/>
      <c r="F132" s="143"/>
      <c r="G132" s="143"/>
      <c r="H132" s="143"/>
      <c r="I132" s="145">
        <f t="shared" si="5"/>
        <v>0</v>
      </c>
      <c r="J132" s="59">
        <f t="shared" si="7"/>
        <v>0</v>
      </c>
      <c r="K132" s="93"/>
      <c r="L132" s="13"/>
      <c r="M132" s="13"/>
      <c r="N132" s="95"/>
    </row>
    <row r="133" spans="1:14" s="3" customFormat="1" ht="15.75" hidden="1">
      <c r="A133" s="59"/>
      <c r="B133" s="72" t="s">
        <v>242</v>
      </c>
      <c r="C133" s="72"/>
      <c r="D133" s="72"/>
      <c r="E133" s="143"/>
      <c r="F133" s="143"/>
      <c r="G133" s="143"/>
      <c r="H133" s="143"/>
      <c r="I133" s="145">
        <f t="shared" si="5"/>
        <v>0</v>
      </c>
      <c r="J133" s="59"/>
      <c r="K133" s="93"/>
      <c r="L133" s="13"/>
      <c r="M133" s="13"/>
      <c r="N133" s="95"/>
    </row>
    <row r="134" spans="1:14" s="3" customFormat="1" ht="15.75" hidden="1">
      <c r="A134" s="59"/>
      <c r="B134" s="72" t="s">
        <v>138</v>
      </c>
      <c r="C134" s="72"/>
      <c r="D134" s="72"/>
      <c r="E134" s="143"/>
      <c r="F134" s="143"/>
      <c r="G134" s="143"/>
      <c r="H134" s="143"/>
      <c r="I134" s="145">
        <f t="shared" si="5"/>
        <v>0</v>
      </c>
      <c r="J134" s="59">
        <f t="shared" si="7"/>
        <v>0</v>
      </c>
      <c r="K134" s="93"/>
      <c r="L134" s="13"/>
      <c r="M134" s="13"/>
      <c r="N134" s="95"/>
    </row>
    <row r="135" spans="1:14" s="3" customFormat="1" ht="15.75">
      <c r="A135" s="59"/>
      <c r="B135" s="59" t="s">
        <v>139</v>
      </c>
      <c r="C135" s="59"/>
      <c r="D135" s="59"/>
      <c r="E135" s="143"/>
      <c r="F135" s="143"/>
      <c r="G135" s="143"/>
      <c r="H135" s="143"/>
      <c r="I135" s="145">
        <f t="shared" si="5"/>
        <v>0</v>
      </c>
      <c r="J135" s="59">
        <f t="shared" si="7"/>
        <v>0</v>
      </c>
      <c r="K135" s="13"/>
      <c r="L135" s="13"/>
      <c r="M135" s="13"/>
      <c r="N135" s="95"/>
    </row>
    <row r="136" spans="1:14" s="3" customFormat="1" ht="15.75">
      <c r="A136" s="59"/>
      <c r="B136" s="59" t="s">
        <v>140</v>
      </c>
      <c r="C136" s="59"/>
      <c r="D136" s="59"/>
      <c r="E136" s="143"/>
      <c r="F136" s="143"/>
      <c r="G136" s="143"/>
      <c r="H136" s="143"/>
      <c r="I136" s="145">
        <f t="shared" si="5"/>
        <v>0</v>
      </c>
      <c r="J136" s="59">
        <f t="shared" si="7"/>
        <v>0</v>
      </c>
      <c r="K136" s="13"/>
      <c r="L136" s="13"/>
      <c r="M136" s="13"/>
      <c r="N136" s="95"/>
    </row>
    <row r="137" spans="1:14" s="3" customFormat="1" ht="15.75">
      <c r="A137" s="59"/>
      <c r="B137" s="59" t="s">
        <v>141</v>
      </c>
      <c r="C137" s="59"/>
      <c r="D137" s="59"/>
      <c r="E137" s="143"/>
      <c r="F137" s="143"/>
      <c r="G137" s="143"/>
      <c r="H137" s="143"/>
      <c r="I137" s="145">
        <f t="shared" si="5"/>
        <v>0</v>
      </c>
      <c r="J137" s="59">
        <f t="shared" si="7"/>
        <v>0</v>
      </c>
      <c r="K137" s="13"/>
      <c r="L137" s="13"/>
      <c r="M137" s="13"/>
      <c r="N137" s="95"/>
    </row>
    <row r="138" spans="1:15" s="3" customFormat="1" ht="15.75">
      <c r="A138" s="59"/>
      <c r="B138" s="74" t="s">
        <v>236</v>
      </c>
      <c r="C138" s="74"/>
      <c r="D138" s="74"/>
      <c r="E138" s="143">
        <f>E71+E73-E80</f>
        <v>0</v>
      </c>
      <c r="F138" s="143">
        <f>F71+F73-F80</f>
        <v>0</v>
      </c>
      <c r="G138" s="143">
        <f>G71+G73-G80</f>
        <v>0</v>
      </c>
      <c r="H138" s="143">
        <f>H71+H73-H80</f>
        <v>0</v>
      </c>
      <c r="I138" s="143">
        <f>I71+I73-I80</f>
        <v>25.60896000000048</v>
      </c>
      <c r="J138" s="59"/>
      <c r="K138" s="94"/>
      <c r="L138" s="94"/>
      <c r="M138" s="94"/>
      <c r="N138" s="95"/>
      <c r="O138" s="95"/>
    </row>
    <row r="139" spans="1:13" s="3" customFormat="1" ht="15.75">
      <c r="A139" s="13"/>
      <c r="B139" s="76" t="s">
        <v>142</v>
      </c>
      <c r="C139" s="76"/>
      <c r="D139" s="76"/>
      <c r="E139" s="13"/>
      <c r="F139" s="13"/>
      <c r="G139" s="13"/>
      <c r="H139" s="13"/>
      <c r="I139" s="20"/>
      <c r="J139" s="13"/>
      <c r="K139" s="13"/>
      <c r="L139" s="13"/>
      <c r="M139" s="13"/>
    </row>
    <row r="140" spans="1:13" s="3" customFormat="1" ht="15.75">
      <c r="A140" s="13"/>
      <c r="B140" s="75"/>
      <c r="C140" s="75"/>
      <c r="D140" s="75"/>
      <c r="E140" s="13"/>
      <c r="F140" s="13"/>
      <c r="G140" s="13"/>
      <c r="H140" s="13"/>
      <c r="I140" s="20"/>
      <c r="J140" s="13"/>
      <c r="K140" s="13"/>
      <c r="L140" s="13"/>
      <c r="M140" s="13"/>
    </row>
    <row r="141" spans="1:13" s="3" customFormat="1" ht="31.5">
      <c r="A141" s="13"/>
      <c r="B141" s="77" t="s">
        <v>143</v>
      </c>
      <c r="C141" s="77"/>
      <c r="D141" s="77"/>
      <c r="E141" s="77" t="s">
        <v>144</v>
      </c>
      <c r="F141" s="13"/>
      <c r="G141" s="13"/>
      <c r="H141" s="13"/>
      <c r="I141" s="20"/>
      <c r="J141" s="13"/>
      <c r="K141" s="13"/>
      <c r="L141" s="13"/>
      <c r="M141" s="13"/>
    </row>
    <row r="142" spans="1:13" s="3" customFormat="1" ht="15.75">
      <c r="A142" s="13"/>
      <c r="B142" s="78" t="s">
        <v>191</v>
      </c>
      <c r="C142" s="78"/>
      <c r="D142" s="78"/>
      <c r="E142" s="79">
        <v>13.2</v>
      </c>
      <c r="F142" s="13"/>
      <c r="G142" s="13"/>
      <c r="H142" s="13"/>
      <c r="I142" s="20"/>
      <c r="J142" s="13"/>
      <c r="K142" s="13"/>
      <c r="L142" s="13"/>
      <c r="M142" s="13"/>
    </row>
    <row r="143" spans="1:13" s="3" customFormat="1" ht="13.5" customHeight="1">
      <c r="A143" s="13"/>
      <c r="B143" s="78"/>
      <c r="C143" s="78"/>
      <c r="D143" s="78"/>
      <c r="E143" s="80"/>
      <c r="F143" s="13"/>
      <c r="G143" s="13"/>
      <c r="H143" s="13"/>
      <c r="I143" s="20"/>
      <c r="J143" s="13"/>
      <c r="K143" s="13"/>
      <c r="L143" s="13"/>
      <c r="M143" s="13"/>
    </row>
    <row r="144" spans="1:13" s="3" customFormat="1" ht="15.75">
      <c r="A144" s="13"/>
      <c r="B144" s="78"/>
      <c r="C144" s="78"/>
      <c r="D144" s="78"/>
      <c r="E144" s="80"/>
      <c r="F144" s="13"/>
      <c r="G144" s="13"/>
      <c r="H144" s="13"/>
      <c r="I144" s="20"/>
      <c r="J144" s="13"/>
      <c r="K144" s="13"/>
      <c r="L144" s="13"/>
      <c r="M144" s="13"/>
    </row>
    <row r="145" spans="1:13" s="3" customFormat="1" ht="33" customHeight="1">
      <c r="A145" s="13"/>
      <c r="B145" s="236" t="s">
        <v>145</v>
      </c>
      <c r="C145" s="236"/>
      <c r="D145" s="236"/>
      <c r="E145" s="236"/>
      <c r="F145" s="13"/>
      <c r="G145" s="13"/>
      <c r="H145" s="13"/>
      <c r="I145" s="20"/>
      <c r="J145" s="13"/>
      <c r="K145" s="13"/>
      <c r="L145" s="13"/>
      <c r="M145" s="13"/>
    </row>
    <row r="146" spans="1:13" s="3" customFormat="1" ht="15.75">
      <c r="A146" s="13"/>
      <c r="B146" s="75"/>
      <c r="C146" s="75"/>
      <c r="D146" s="75"/>
      <c r="E146" s="13"/>
      <c r="F146" s="13"/>
      <c r="G146" s="13"/>
      <c r="H146" s="13"/>
      <c r="I146" s="20"/>
      <c r="J146" s="13"/>
      <c r="K146" s="13"/>
      <c r="L146" s="13"/>
      <c r="M146" s="13"/>
    </row>
    <row r="147" spans="1:13" s="3" customFormat="1" ht="15.75">
      <c r="A147" s="13"/>
      <c r="B147" s="75"/>
      <c r="C147" s="75"/>
      <c r="D147" s="75"/>
      <c r="E147" s="13"/>
      <c r="F147" s="13"/>
      <c r="G147" s="13"/>
      <c r="H147" s="13"/>
      <c r="I147" s="20"/>
      <c r="J147" s="13"/>
      <c r="K147" s="13"/>
      <c r="L147" s="13"/>
      <c r="M147" s="13"/>
    </row>
    <row r="148" spans="1:13" s="3" customFormat="1" ht="63">
      <c r="A148" s="13"/>
      <c r="B148" s="75" t="s">
        <v>237</v>
      </c>
      <c r="C148" s="75"/>
      <c r="D148" s="75"/>
      <c r="E148" s="35"/>
      <c r="F148" s="39"/>
      <c r="G148" s="36" t="s">
        <v>171</v>
      </c>
      <c r="H148" s="36"/>
      <c r="I148" s="36"/>
      <c r="J148" s="36"/>
      <c r="K148" s="36"/>
      <c r="L148" s="13"/>
      <c r="M148" s="13"/>
    </row>
    <row r="149" spans="1:13" s="3" customFormat="1" ht="17.25" customHeight="1">
      <c r="A149" s="13"/>
      <c r="B149" s="82" t="s">
        <v>1</v>
      </c>
      <c r="C149" s="82"/>
      <c r="D149" s="82"/>
      <c r="E149" s="235" t="s">
        <v>239</v>
      </c>
      <c r="F149" s="235"/>
      <c r="G149" s="13"/>
      <c r="H149" s="13" t="s">
        <v>164</v>
      </c>
      <c r="I149" s="13"/>
      <c r="J149" s="13"/>
      <c r="K149" s="13"/>
      <c r="L149" s="13"/>
      <c r="M149" s="13"/>
    </row>
    <row r="150" spans="1:13" s="3" customFormat="1" ht="17.25" customHeight="1">
      <c r="A150" s="13"/>
      <c r="B150" s="82"/>
      <c r="C150" s="82"/>
      <c r="D150" s="82"/>
      <c r="E150" s="13"/>
      <c r="F150" s="13"/>
      <c r="G150" s="13"/>
      <c r="H150" s="13"/>
      <c r="I150" s="13" t="s">
        <v>223</v>
      </c>
      <c r="J150" s="13"/>
      <c r="K150" s="13"/>
      <c r="L150" s="75"/>
      <c r="M150" s="13"/>
    </row>
    <row r="151" spans="1:13" s="3" customFormat="1" ht="17.25" customHeight="1">
      <c r="A151" s="13"/>
      <c r="B151" s="82"/>
      <c r="C151" s="82"/>
      <c r="D151" s="82"/>
      <c r="E151" s="13"/>
      <c r="F151" s="13"/>
      <c r="G151" s="13"/>
      <c r="H151" s="13"/>
      <c r="I151" s="75" t="s">
        <v>163</v>
      </c>
      <c r="J151" s="13"/>
      <c r="K151" s="13"/>
      <c r="L151" s="75"/>
      <c r="M151" s="13"/>
    </row>
    <row r="152" spans="1:13" s="3" customFormat="1" ht="17.25" customHeight="1">
      <c r="A152" s="13"/>
      <c r="B152" s="82"/>
      <c r="C152" s="82"/>
      <c r="D152" s="82"/>
      <c r="E152" s="13"/>
      <c r="F152" s="13"/>
      <c r="G152" s="13"/>
      <c r="H152" s="13"/>
      <c r="I152" s="13"/>
      <c r="J152" s="13"/>
      <c r="K152" s="13"/>
      <c r="L152" s="75"/>
      <c r="M152" s="13"/>
    </row>
    <row r="153" spans="1:13" s="3" customFormat="1" ht="15.75">
      <c r="A153" s="13"/>
      <c r="B153" s="75" t="s">
        <v>238</v>
      </c>
      <c r="C153" s="75"/>
      <c r="D153" s="75"/>
      <c r="E153" s="13"/>
      <c r="F153" s="39"/>
      <c r="G153" s="37" t="s">
        <v>172</v>
      </c>
      <c r="H153" s="37"/>
      <c r="I153" s="20"/>
      <c r="J153" s="13"/>
      <c r="K153" s="13"/>
      <c r="L153" s="13"/>
      <c r="M153" s="13"/>
    </row>
    <row r="154" spans="1:13" s="3" customFormat="1" ht="18.75" customHeight="1">
      <c r="A154" s="13"/>
      <c r="B154" s="81" t="s">
        <v>162</v>
      </c>
      <c r="C154" s="81"/>
      <c r="D154" s="81"/>
      <c r="E154" s="235" t="s">
        <v>239</v>
      </c>
      <c r="F154" s="235"/>
      <c r="G154" s="13"/>
      <c r="H154" s="13" t="s">
        <v>164</v>
      </c>
      <c r="I154" s="13"/>
      <c r="J154" s="13"/>
      <c r="K154" s="13"/>
      <c r="L154" s="13"/>
      <c r="M154" s="13"/>
    </row>
    <row r="155" spans="1:13" s="3" customFormat="1" ht="18" customHeight="1">
      <c r="A155" s="13"/>
      <c r="B155" s="75" t="s">
        <v>146</v>
      </c>
      <c r="C155" s="75"/>
      <c r="D155" s="75"/>
      <c r="E155" s="13"/>
      <c r="F155" s="13"/>
      <c r="G155" s="13"/>
      <c r="H155" s="13"/>
      <c r="I155" s="13" t="s">
        <v>223</v>
      </c>
      <c r="J155" s="13"/>
      <c r="K155" s="13"/>
      <c r="L155" s="13"/>
      <c r="M155" s="13"/>
    </row>
    <row r="156" ht="110.25">
      <c r="I156" s="75" t="s">
        <v>163</v>
      </c>
    </row>
    <row r="161" ht="15"/>
    <row r="162" ht="15"/>
    <row r="163" ht="15"/>
    <row r="164" ht="15"/>
    <row r="165" ht="15"/>
    <row r="166"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63" ht="15"/>
    <row r="264" ht="15"/>
    <row r="265" ht="15"/>
    <row r="266" ht="15"/>
    <row r="267" ht="15"/>
    <row r="268" ht="15"/>
    <row r="269" ht="15"/>
    <row r="270" ht="15"/>
    <row r="271" ht="15"/>
    <row r="272" ht="15"/>
    <row r="273" ht="15"/>
    <row r="274" ht="15"/>
  </sheetData>
  <sheetProtection/>
  <mergeCells count="66">
    <mergeCell ref="B26:B28"/>
    <mergeCell ref="E26:F26"/>
    <mergeCell ref="G26:L26"/>
    <mergeCell ref="E27:F27"/>
    <mergeCell ref="G27:I27"/>
    <mergeCell ref="K27:K28"/>
    <mergeCell ref="L27:L28"/>
    <mergeCell ref="H28:I28"/>
    <mergeCell ref="G29:I29"/>
    <mergeCell ref="H30:I30"/>
    <mergeCell ref="H31:I31"/>
    <mergeCell ref="H32:I32"/>
    <mergeCell ref="B33:L33"/>
    <mergeCell ref="B34:L34"/>
    <mergeCell ref="G35:I35"/>
    <mergeCell ref="G36:I36"/>
    <mergeCell ref="G37:I37"/>
    <mergeCell ref="B38:L38"/>
    <mergeCell ref="E39:F39"/>
    <mergeCell ref="G39:I39"/>
    <mergeCell ref="E40:F40"/>
    <mergeCell ref="G40:I40"/>
    <mergeCell ref="E41:F41"/>
    <mergeCell ref="G41:I41"/>
    <mergeCell ref="E42:F42"/>
    <mergeCell ref="G42:I42"/>
    <mergeCell ref="E43:F43"/>
    <mergeCell ref="G43:I43"/>
    <mergeCell ref="E44:F44"/>
    <mergeCell ref="G44:I44"/>
    <mergeCell ref="E45:F45"/>
    <mergeCell ref="G45:I45"/>
    <mergeCell ref="E46:F46"/>
    <mergeCell ref="G46:I46"/>
    <mergeCell ref="E47:F47"/>
    <mergeCell ref="G47:I47"/>
    <mergeCell ref="E48:F48"/>
    <mergeCell ref="G48:I48"/>
    <mergeCell ref="B49:L49"/>
    <mergeCell ref="E50:F50"/>
    <mergeCell ref="G50:I50"/>
    <mergeCell ref="E51:F51"/>
    <mergeCell ref="G51:I51"/>
    <mergeCell ref="B52:L52"/>
    <mergeCell ref="E53:F53"/>
    <mergeCell ref="G53:H53"/>
    <mergeCell ref="I53:K53"/>
    <mergeCell ref="E54:F54"/>
    <mergeCell ref="G54:H54"/>
    <mergeCell ref="I54:K54"/>
    <mergeCell ref="B55:L55"/>
    <mergeCell ref="E56:F56"/>
    <mergeCell ref="G56:H56"/>
    <mergeCell ref="I56:K56"/>
    <mergeCell ref="E57:F57"/>
    <mergeCell ref="G57:H57"/>
    <mergeCell ref="I57:K57"/>
    <mergeCell ref="B145:E145"/>
    <mergeCell ref="E149:F149"/>
    <mergeCell ref="E154:F154"/>
    <mergeCell ref="E58:F58"/>
    <mergeCell ref="G58:H58"/>
    <mergeCell ref="I58:K58"/>
    <mergeCell ref="E59:F59"/>
    <mergeCell ref="G59:H59"/>
    <mergeCell ref="I59:K59"/>
  </mergeCells>
  <printOptions/>
  <pageMargins left="0.7086614173228347" right="0.1968503937007874" top="0.5511811023622047" bottom="0.35433070866141736" header="0.31496062992125984" footer="0.31496062992125984"/>
  <pageSetup horizontalDpi="600" verticalDpi="600" orientation="portrait" paperSize="9" scale="70" r:id="rId3"/>
  <rowBreaks count="1" manualBreakCount="1">
    <brk id="121" max="255" man="1"/>
  </rowBreaks>
  <legacyDrawing r:id="rId2"/>
</worksheet>
</file>

<file path=xl/worksheets/sheet7.xml><?xml version="1.0" encoding="utf-8"?>
<worksheet xmlns="http://schemas.openxmlformats.org/spreadsheetml/2006/main" xmlns:r="http://schemas.openxmlformats.org/officeDocument/2006/relationships">
  <dimension ref="A1:P161"/>
  <sheetViews>
    <sheetView tabSelected="1" workbookViewId="0" topLeftCell="A65">
      <selection activeCell="B147" sqref="B147"/>
    </sheetView>
  </sheetViews>
  <sheetFormatPr defaultColWidth="9.00390625" defaultRowHeight="12.75"/>
  <cols>
    <col min="1" max="1" width="4.125" style="17" customWidth="1"/>
    <col min="2" max="2" width="51.125" style="17" customWidth="1"/>
    <col min="3" max="3" width="7.25390625" style="17" customWidth="1"/>
    <col min="4" max="4" width="5.875" style="17" customWidth="1"/>
    <col min="5" max="5" width="7.625" style="123" customWidth="1"/>
    <col min="6" max="6" width="13.75390625" style="154" customWidth="1"/>
    <col min="7" max="7" width="13.625" style="154" customWidth="1"/>
    <col min="8" max="8" width="13.25390625" style="154" customWidth="1"/>
    <col min="9" max="9" width="12.625" style="154" customWidth="1"/>
    <col min="10" max="10" width="14.125" style="154" customWidth="1"/>
    <col min="11" max="11" width="11.25390625" style="17" hidden="1" customWidth="1"/>
    <col min="12" max="12" width="13.125" style="17" bestFit="1" customWidth="1"/>
    <col min="13" max="13" width="14.125" style="17" customWidth="1"/>
    <col min="14" max="14" width="13.125" style="17" bestFit="1" customWidth="1"/>
    <col min="15" max="15" width="12.00390625" style="0" customWidth="1"/>
    <col min="16" max="16" width="11.75390625" style="0" bestFit="1" customWidth="1"/>
  </cols>
  <sheetData>
    <row r="1" spans="1:14" s="3" customFormat="1" ht="15.75" hidden="1">
      <c r="A1" s="13"/>
      <c r="B1" s="13"/>
      <c r="C1" s="13"/>
      <c r="D1" s="13"/>
      <c r="E1" s="110"/>
      <c r="F1" s="131"/>
      <c r="G1" s="131"/>
      <c r="H1" s="131"/>
      <c r="I1" s="131"/>
      <c r="J1" s="131"/>
      <c r="K1" s="13"/>
      <c r="L1" s="13"/>
      <c r="M1" s="13"/>
      <c r="N1" s="13"/>
    </row>
    <row r="2" spans="1:14" s="3" customFormat="1" ht="15.75" hidden="1">
      <c r="A2" s="13"/>
      <c r="B2" s="30"/>
      <c r="C2" s="30"/>
      <c r="D2" s="30"/>
      <c r="E2" s="38"/>
      <c r="F2" s="131"/>
      <c r="G2" s="131"/>
      <c r="H2" s="131"/>
      <c r="I2" s="131"/>
      <c r="J2" s="131"/>
      <c r="K2" s="13"/>
      <c r="L2" s="13"/>
      <c r="M2" s="13"/>
      <c r="N2" s="13"/>
    </row>
    <row r="3" spans="1:14" s="3" customFormat="1" ht="15.75" hidden="1">
      <c r="A3" s="13"/>
      <c r="B3" s="13"/>
      <c r="C3" s="13"/>
      <c r="D3" s="13"/>
      <c r="E3" s="110"/>
      <c r="F3" s="131"/>
      <c r="G3" s="131"/>
      <c r="H3" s="131"/>
      <c r="I3" s="131"/>
      <c r="J3" s="131"/>
      <c r="K3" s="13"/>
      <c r="L3" s="13"/>
      <c r="M3" s="13"/>
      <c r="N3" s="13"/>
    </row>
    <row r="4" spans="1:14" s="3" customFormat="1" ht="15.75" hidden="1">
      <c r="A4" s="13"/>
      <c r="B4" s="13"/>
      <c r="C4" s="13"/>
      <c r="D4" s="13"/>
      <c r="E4" s="110"/>
      <c r="F4" s="131"/>
      <c r="G4" s="131"/>
      <c r="H4" s="131"/>
      <c r="I4" s="131"/>
      <c r="J4" s="131"/>
      <c r="K4" s="13"/>
      <c r="L4" s="13"/>
      <c r="M4" s="13"/>
      <c r="N4" s="13"/>
    </row>
    <row r="5" spans="1:14" s="3" customFormat="1" ht="90.75" customHeight="1" hidden="1">
      <c r="A5" s="13"/>
      <c r="B5" s="13"/>
      <c r="C5" s="13"/>
      <c r="D5" s="13"/>
      <c r="E5" s="110"/>
      <c r="F5" s="131"/>
      <c r="G5" s="131"/>
      <c r="H5" s="131"/>
      <c r="I5" s="131"/>
      <c r="J5" s="131"/>
      <c r="K5" s="13"/>
      <c r="L5" s="13"/>
      <c r="M5" s="13"/>
      <c r="N5" s="13"/>
    </row>
    <row r="6" spans="1:14" s="3" customFormat="1" ht="15.75" hidden="1">
      <c r="A6" s="13"/>
      <c r="B6" s="13"/>
      <c r="C6" s="13"/>
      <c r="D6" s="13"/>
      <c r="E6" s="110"/>
      <c r="F6" s="131"/>
      <c r="G6" s="131"/>
      <c r="H6" s="131"/>
      <c r="I6" s="131"/>
      <c r="J6" s="131"/>
      <c r="K6" s="13"/>
      <c r="L6" s="13"/>
      <c r="M6" s="13"/>
      <c r="N6" s="13"/>
    </row>
    <row r="7" spans="1:14" s="3" customFormat="1" ht="15.75" hidden="1">
      <c r="A7" s="13"/>
      <c r="B7" s="13"/>
      <c r="C7" s="13"/>
      <c r="D7" s="13"/>
      <c r="E7" s="110"/>
      <c r="F7" s="131"/>
      <c r="G7" s="131"/>
      <c r="H7" s="131"/>
      <c r="I7" s="131"/>
      <c r="J7" s="131"/>
      <c r="K7" s="13"/>
      <c r="L7" s="13"/>
      <c r="M7" s="13"/>
      <c r="N7" s="13"/>
    </row>
    <row r="8" spans="1:14" s="3" customFormat="1" ht="15.75" hidden="1">
      <c r="A8" s="13"/>
      <c r="B8" s="13"/>
      <c r="C8" s="13"/>
      <c r="D8" s="13"/>
      <c r="E8" s="110"/>
      <c r="F8" s="131"/>
      <c r="G8" s="131"/>
      <c r="H8" s="131"/>
      <c r="I8" s="131"/>
      <c r="J8" s="131"/>
      <c r="K8" s="13"/>
      <c r="L8" s="13"/>
      <c r="M8" s="13"/>
      <c r="N8" s="13"/>
    </row>
    <row r="9" spans="1:14" s="3" customFormat="1" ht="42.75" customHeight="1" hidden="1">
      <c r="A9" s="13"/>
      <c r="B9" s="13"/>
      <c r="C9" s="13"/>
      <c r="D9" s="13"/>
      <c r="E9" s="110"/>
      <c r="F9" s="131"/>
      <c r="G9" s="131"/>
      <c r="H9" s="131"/>
      <c r="I9" s="131"/>
      <c r="J9" s="131"/>
      <c r="K9" s="13"/>
      <c r="L9" s="13"/>
      <c r="M9" s="13"/>
      <c r="N9" s="13"/>
    </row>
    <row r="10" spans="1:14" s="3" customFormat="1" ht="46.5" customHeight="1" hidden="1">
      <c r="A10" s="13"/>
      <c r="B10" s="13"/>
      <c r="C10" s="13"/>
      <c r="D10" s="13"/>
      <c r="E10" s="110"/>
      <c r="F10" s="131"/>
      <c r="G10" s="131"/>
      <c r="H10" s="131"/>
      <c r="I10" s="131"/>
      <c r="J10" s="131"/>
      <c r="K10" s="13"/>
      <c r="L10" s="13"/>
      <c r="M10" s="13"/>
      <c r="N10" s="13"/>
    </row>
    <row r="11" spans="1:14" s="3" customFormat="1" ht="39.75" customHeight="1" hidden="1">
      <c r="A11" s="13"/>
      <c r="B11" s="13"/>
      <c r="C11" s="13"/>
      <c r="D11" s="13"/>
      <c r="E11" s="110"/>
      <c r="F11" s="131"/>
      <c r="G11" s="131"/>
      <c r="H11" s="131"/>
      <c r="I11" s="131"/>
      <c r="J11" s="131"/>
      <c r="K11" s="13"/>
      <c r="L11" s="13"/>
      <c r="M11" s="13"/>
      <c r="N11" s="13"/>
    </row>
    <row r="12" spans="1:14" s="3" customFormat="1" ht="15.75" hidden="1">
      <c r="A12" s="13"/>
      <c r="B12" s="13"/>
      <c r="C12" s="13"/>
      <c r="D12" s="13"/>
      <c r="E12" s="110"/>
      <c r="F12" s="131"/>
      <c r="G12" s="131"/>
      <c r="H12" s="131"/>
      <c r="I12" s="131"/>
      <c r="J12" s="131"/>
      <c r="K12" s="13"/>
      <c r="L12" s="13"/>
      <c r="M12" s="13"/>
      <c r="N12" s="13"/>
    </row>
    <row r="13" spans="1:14" s="3" customFormat="1" ht="15.75" hidden="1">
      <c r="A13" s="13"/>
      <c r="B13" s="13"/>
      <c r="C13" s="13"/>
      <c r="D13" s="13"/>
      <c r="E13" s="110"/>
      <c r="F13" s="131"/>
      <c r="G13" s="131"/>
      <c r="H13" s="131"/>
      <c r="I13" s="131"/>
      <c r="J13" s="131"/>
      <c r="K13" s="13"/>
      <c r="L13" s="13"/>
      <c r="M13" s="13"/>
      <c r="N13" s="13"/>
    </row>
    <row r="14" spans="1:14" s="3" customFormat="1" ht="15.75" hidden="1">
      <c r="A14" s="13"/>
      <c r="B14" s="13"/>
      <c r="C14" s="13"/>
      <c r="D14" s="13"/>
      <c r="E14" s="110"/>
      <c r="F14" s="131"/>
      <c r="G14" s="131"/>
      <c r="H14" s="131"/>
      <c r="I14" s="131"/>
      <c r="J14" s="131"/>
      <c r="K14" s="13"/>
      <c r="L14" s="13"/>
      <c r="M14" s="13"/>
      <c r="N14" s="13"/>
    </row>
    <row r="15" spans="1:14" s="3" customFormat="1" ht="15.75" hidden="1">
      <c r="A15" s="13"/>
      <c r="B15" s="13"/>
      <c r="C15" s="13"/>
      <c r="D15" s="13"/>
      <c r="E15" s="110"/>
      <c r="F15" s="131"/>
      <c r="G15" s="131"/>
      <c r="H15" s="131"/>
      <c r="I15" s="131"/>
      <c r="J15" s="131"/>
      <c r="K15" s="13"/>
      <c r="L15" s="13"/>
      <c r="M15" s="13"/>
      <c r="N15" s="13"/>
    </row>
    <row r="16" spans="1:14" s="3" customFormat="1" ht="36" customHeight="1" hidden="1">
      <c r="A16" s="13"/>
      <c r="B16" s="13"/>
      <c r="C16" s="13"/>
      <c r="D16" s="13"/>
      <c r="E16" s="110"/>
      <c r="F16" s="131"/>
      <c r="G16" s="131"/>
      <c r="H16" s="131"/>
      <c r="I16" s="131"/>
      <c r="J16" s="131"/>
      <c r="K16" s="13"/>
      <c r="L16" s="13"/>
      <c r="M16" s="13"/>
      <c r="N16" s="13"/>
    </row>
    <row r="17" spans="1:14" s="3" customFormat="1" ht="68.25" customHeight="1" hidden="1">
      <c r="A17" s="13"/>
      <c r="B17" s="13"/>
      <c r="C17" s="13"/>
      <c r="D17" s="13"/>
      <c r="E17" s="110"/>
      <c r="F17" s="131"/>
      <c r="G17" s="131"/>
      <c r="H17" s="131"/>
      <c r="I17" s="131"/>
      <c r="J17" s="131"/>
      <c r="K17" s="13"/>
      <c r="L17" s="13"/>
      <c r="M17" s="13"/>
      <c r="N17" s="13"/>
    </row>
    <row r="18" spans="1:14" s="3" customFormat="1" ht="15.75" hidden="1">
      <c r="A18" s="13"/>
      <c r="B18" s="13"/>
      <c r="C18" s="13"/>
      <c r="D18" s="13"/>
      <c r="E18" s="110"/>
      <c r="F18" s="131"/>
      <c r="G18" s="131"/>
      <c r="H18" s="131"/>
      <c r="I18" s="131"/>
      <c r="J18" s="131"/>
      <c r="K18" s="13"/>
      <c r="L18" s="13"/>
      <c r="M18" s="13"/>
      <c r="N18" s="13"/>
    </row>
    <row r="19" spans="1:14" s="3" customFormat="1" ht="15.75" hidden="1">
      <c r="A19" s="13"/>
      <c r="B19" s="13"/>
      <c r="C19" s="13"/>
      <c r="D19" s="13"/>
      <c r="E19" s="110"/>
      <c r="F19" s="131"/>
      <c r="G19" s="131"/>
      <c r="H19" s="131"/>
      <c r="I19" s="131"/>
      <c r="J19" s="131"/>
      <c r="K19" s="13"/>
      <c r="L19" s="13"/>
      <c r="M19" s="13"/>
      <c r="N19" s="13"/>
    </row>
    <row r="20" spans="1:14" s="3" customFormat="1" ht="15.75" hidden="1">
      <c r="A20" s="13"/>
      <c r="B20" s="13"/>
      <c r="C20" s="13"/>
      <c r="D20" s="13"/>
      <c r="E20" s="110"/>
      <c r="F20" s="131"/>
      <c r="G20" s="131"/>
      <c r="H20" s="131"/>
      <c r="I20" s="131"/>
      <c r="J20" s="131"/>
      <c r="K20" s="13"/>
      <c r="L20" s="13"/>
      <c r="M20" s="13"/>
      <c r="N20" s="13"/>
    </row>
    <row r="21" spans="1:14" s="3" customFormat="1" ht="15.75" hidden="1">
      <c r="A21" s="13"/>
      <c r="B21" s="13"/>
      <c r="C21" s="13"/>
      <c r="D21" s="13"/>
      <c r="E21" s="110"/>
      <c r="F21" s="131"/>
      <c r="G21" s="131"/>
      <c r="H21" s="131"/>
      <c r="I21" s="131"/>
      <c r="J21" s="131"/>
      <c r="K21" s="13"/>
      <c r="L21" s="13"/>
      <c r="M21" s="13"/>
      <c r="N21" s="13"/>
    </row>
    <row r="22" spans="1:14" s="3" customFormat="1" ht="15.75" hidden="1">
      <c r="A22" s="13"/>
      <c r="B22" s="13"/>
      <c r="C22" s="13"/>
      <c r="D22" s="13"/>
      <c r="E22" s="110"/>
      <c r="F22" s="131"/>
      <c r="G22" s="131"/>
      <c r="H22" s="131"/>
      <c r="I22" s="131"/>
      <c r="J22" s="131"/>
      <c r="K22" s="13"/>
      <c r="L22" s="13"/>
      <c r="M22" s="13"/>
      <c r="N22" s="13"/>
    </row>
    <row r="23" spans="1:14" s="3" customFormat="1" ht="15.75" hidden="1">
      <c r="A23" s="13"/>
      <c r="B23" s="14" t="s">
        <v>64</v>
      </c>
      <c r="C23" s="14"/>
      <c r="D23" s="14"/>
      <c r="E23" s="110"/>
      <c r="F23" s="131"/>
      <c r="G23" s="131"/>
      <c r="H23" s="131"/>
      <c r="I23" s="131"/>
      <c r="J23" s="131"/>
      <c r="K23" s="13"/>
      <c r="L23" s="13"/>
      <c r="M23" s="13"/>
      <c r="N23" s="13"/>
    </row>
    <row r="24" spans="1:14" s="3" customFormat="1" ht="15.75" hidden="1">
      <c r="A24" s="13"/>
      <c r="B24" s="13"/>
      <c r="C24" s="13"/>
      <c r="D24" s="13"/>
      <c r="E24" s="110"/>
      <c r="F24" s="131"/>
      <c r="G24" s="131"/>
      <c r="H24" s="131"/>
      <c r="I24" s="131"/>
      <c r="J24" s="131"/>
      <c r="K24" s="13"/>
      <c r="L24" s="13"/>
      <c r="M24" s="13"/>
      <c r="N24" s="13"/>
    </row>
    <row r="25" spans="1:14" s="3" customFormat="1" ht="18.75" customHeight="1" hidden="1">
      <c r="A25" s="13"/>
      <c r="B25" s="206" t="s">
        <v>66</v>
      </c>
      <c r="C25" s="100"/>
      <c r="D25" s="100"/>
      <c r="E25" s="100"/>
      <c r="F25" s="250" t="s">
        <v>176</v>
      </c>
      <c r="G25" s="252"/>
      <c r="H25" s="216" t="s">
        <v>68</v>
      </c>
      <c r="I25" s="217"/>
      <c r="J25" s="217"/>
      <c r="K25" s="217"/>
      <c r="L25" s="217"/>
      <c r="M25" s="217"/>
      <c r="N25" s="13"/>
    </row>
    <row r="26" spans="1:14" s="3" customFormat="1" ht="18.75" customHeight="1" hidden="1">
      <c r="A26" s="13"/>
      <c r="B26" s="231"/>
      <c r="C26" s="101"/>
      <c r="D26" s="101"/>
      <c r="E26" s="101"/>
      <c r="F26" s="250" t="s">
        <v>67</v>
      </c>
      <c r="G26" s="252"/>
      <c r="H26" s="250" t="s">
        <v>177</v>
      </c>
      <c r="I26" s="251"/>
      <c r="J26" s="252"/>
      <c r="K26" s="22"/>
      <c r="L26" s="206" t="s">
        <v>69</v>
      </c>
      <c r="M26" s="206" t="s">
        <v>178</v>
      </c>
      <c r="N26" s="13"/>
    </row>
    <row r="27" spans="1:14" s="3" customFormat="1" ht="37.5" customHeight="1" hidden="1">
      <c r="A27" s="13"/>
      <c r="B27" s="207"/>
      <c r="C27" s="99"/>
      <c r="D27" s="99"/>
      <c r="E27" s="99"/>
      <c r="F27" s="132" t="s">
        <v>70</v>
      </c>
      <c r="G27" s="132" t="s">
        <v>71</v>
      </c>
      <c r="H27" s="132" t="s">
        <v>72</v>
      </c>
      <c r="I27" s="250" t="s">
        <v>73</v>
      </c>
      <c r="J27" s="252"/>
      <c r="K27" s="22"/>
      <c r="L27" s="207"/>
      <c r="M27" s="207"/>
      <c r="N27" s="13"/>
    </row>
    <row r="28" spans="1:14" s="3" customFormat="1" ht="15.75" hidden="1">
      <c r="A28" s="13"/>
      <c r="B28" s="22">
        <v>1</v>
      </c>
      <c r="C28" s="22"/>
      <c r="D28" s="22"/>
      <c r="E28" s="22"/>
      <c r="F28" s="132">
        <v>2</v>
      </c>
      <c r="G28" s="132">
        <v>3</v>
      </c>
      <c r="H28" s="250">
        <v>4</v>
      </c>
      <c r="I28" s="251"/>
      <c r="J28" s="252"/>
      <c r="K28" s="22"/>
      <c r="L28" s="22">
        <v>5</v>
      </c>
      <c r="M28" s="22">
        <v>6</v>
      </c>
      <c r="N28" s="13"/>
    </row>
    <row r="29" spans="1:14" s="3" customFormat="1" ht="31.5" hidden="1">
      <c r="A29" s="13"/>
      <c r="B29" s="23" t="s">
        <v>74</v>
      </c>
      <c r="C29" s="23"/>
      <c r="D29" s="23"/>
      <c r="E29" s="24"/>
      <c r="F29" s="133"/>
      <c r="G29" s="133"/>
      <c r="H29" s="133"/>
      <c r="I29" s="247"/>
      <c r="J29" s="248"/>
      <c r="K29" s="24"/>
      <c r="L29" s="24"/>
      <c r="M29" s="24"/>
      <c r="N29" s="13"/>
    </row>
    <row r="30" spans="1:14" s="3" customFormat="1" ht="47.25" hidden="1">
      <c r="A30" s="13"/>
      <c r="B30" s="23" t="s">
        <v>225</v>
      </c>
      <c r="C30" s="23"/>
      <c r="D30" s="23"/>
      <c r="E30" s="24"/>
      <c r="F30" s="133">
        <v>8979</v>
      </c>
      <c r="G30" s="133">
        <v>8461</v>
      </c>
      <c r="H30" s="133">
        <v>8461</v>
      </c>
      <c r="I30" s="247">
        <v>7085</v>
      </c>
      <c r="J30" s="248"/>
      <c r="K30" s="24"/>
      <c r="L30" s="24"/>
      <c r="M30" s="24"/>
      <c r="N30" s="13"/>
    </row>
    <row r="31" spans="1:14" s="3" customFormat="1" ht="15.75" hidden="1">
      <c r="A31" s="13"/>
      <c r="B31" s="23"/>
      <c r="C31" s="23"/>
      <c r="D31" s="23"/>
      <c r="E31" s="24"/>
      <c r="F31" s="133"/>
      <c r="G31" s="133"/>
      <c r="H31" s="133"/>
      <c r="I31" s="247"/>
      <c r="J31" s="248"/>
      <c r="K31" s="24"/>
      <c r="L31" s="24"/>
      <c r="M31" s="24"/>
      <c r="N31" s="13"/>
    </row>
    <row r="32" spans="1:14" s="3" customFormat="1" ht="18.75" hidden="1">
      <c r="A32" s="13"/>
      <c r="B32" s="208"/>
      <c r="C32" s="209"/>
      <c r="D32" s="209"/>
      <c r="E32" s="209"/>
      <c r="F32" s="209"/>
      <c r="G32" s="209"/>
      <c r="H32" s="209"/>
      <c r="I32" s="209"/>
      <c r="J32" s="209"/>
      <c r="K32" s="209"/>
      <c r="L32" s="209"/>
      <c r="M32" s="209"/>
      <c r="N32" s="13"/>
    </row>
    <row r="33" spans="1:14" s="3" customFormat="1" ht="18.75" customHeight="1" hidden="1">
      <c r="A33" s="13"/>
      <c r="B33" s="208" t="s">
        <v>75</v>
      </c>
      <c r="C33" s="209"/>
      <c r="D33" s="209"/>
      <c r="E33" s="209"/>
      <c r="F33" s="209"/>
      <c r="G33" s="209"/>
      <c r="H33" s="209"/>
      <c r="I33" s="209"/>
      <c r="J33" s="209"/>
      <c r="K33" s="209"/>
      <c r="L33" s="209"/>
      <c r="M33" s="209"/>
      <c r="N33" s="13"/>
    </row>
    <row r="34" spans="1:14" s="3" customFormat="1" ht="40.5" customHeight="1" hidden="1">
      <c r="A34" s="13"/>
      <c r="B34" s="25" t="s">
        <v>76</v>
      </c>
      <c r="C34" s="25"/>
      <c r="D34" s="25"/>
      <c r="E34" s="22"/>
      <c r="F34" s="133">
        <v>2</v>
      </c>
      <c r="G34" s="133">
        <v>2</v>
      </c>
      <c r="H34" s="247">
        <v>2</v>
      </c>
      <c r="I34" s="249"/>
      <c r="J34" s="248"/>
      <c r="K34" s="24"/>
      <c r="L34" s="24"/>
      <c r="M34" s="24"/>
      <c r="N34" s="13"/>
    </row>
    <row r="35" spans="1:14" s="3" customFormat="1" ht="15.75" hidden="1">
      <c r="A35" s="13"/>
      <c r="B35" s="25" t="s">
        <v>77</v>
      </c>
      <c r="C35" s="25"/>
      <c r="D35" s="25"/>
      <c r="E35" s="22"/>
      <c r="F35" s="133">
        <v>15</v>
      </c>
      <c r="G35" s="133">
        <v>15</v>
      </c>
      <c r="H35" s="247">
        <v>15</v>
      </c>
      <c r="I35" s="249"/>
      <c r="J35" s="248"/>
      <c r="K35" s="24"/>
      <c r="L35" s="24"/>
      <c r="M35" s="24"/>
      <c r="N35" s="13"/>
    </row>
    <row r="36" spans="1:14" s="3" customFormat="1" ht="15.75" hidden="1">
      <c r="A36" s="13"/>
      <c r="B36" s="25" t="s">
        <v>78</v>
      </c>
      <c r="C36" s="25"/>
      <c r="D36" s="25"/>
      <c r="E36" s="22"/>
      <c r="F36" s="133">
        <v>10</v>
      </c>
      <c r="G36" s="133">
        <v>10</v>
      </c>
      <c r="H36" s="247">
        <v>10</v>
      </c>
      <c r="I36" s="249"/>
      <c r="J36" s="248"/>
      <c r="K36" s="24"/>
      <c r="L36" s="24"/>
      <c r="M36" s="24"/>
      <c r="N36" s="13"/>
    </row>
    <row r="37" spans="1:14" s="3" customFormat="1" ht="18.75" customHeight="1" hidden="1">
      <c r="A37" s="13"/>
      <c r="B37" s="208" t="s">
        <v>79</v>
      </c>
      <c r="C37" s="209"/>
      <c r="D37" s="209"/>
      <c r="E37" s="209"/>
      <c r="F37" s="209"/>
      <c r="G37" s="209"/>
      <c r="H37" s="209"/>
      <c r="I37" s="209"/>
      <c r="J37" s="209"/>
      <c r="K37" s="209"/>
      <c r="L37" s="209"/>
      <c r="M37" s="209"/>
      <c r="N37" s="13"/>
    </row>
    <row r="38" spans="1:14" s="3" customFormat="1" ht="15.75" hidden="1">
      <c r="A38" s="13"/>
      <c r="B38" s="23"/>
      <c r="C38" s="89"/>
      <c r="D38" s="89"/>
      <c r="E38" s="111"/>
      <c r="F38" s="247" t="s">
        <v>39</v>
      </c>
      <c r="G38" s="248"/>
      <c r="H38" s="244"/>
      <c r="I38" s="246"/>
      <c r="J38" s="245"/>
      <c r="K38" s="23"/>
      <c r="L38" s="23"/>
      <c r="M38" s="23"/>
      <c r="N38" s="13"/>
    </row>
    <row r="39" spans="1:14" s="3" customFormat="1" ht="15.75" hidden="1">
      <c r="A39" s="13"/>
      <c r="B39" s="23" t="s">
        <v>213</v>
      </c>
      <c r="C39" s="89"/>
      <c r="D39" s="89"/>
      <c r="E39" s="111"/>
      <c r="F39" s="247">
        <f>SUM(F40,F45)+F41</f>
        <v>7419.5556400000005</v>
      </c>
      <c r="G39" s="248"/>
      <c r="H39" s="247">
        <f>H40+H45+H47+H41</f>
        <v>8076.2047468</v>
      </c>
      <c r="I39" s="249"/>
      <c r="J39" s="248"/>
      <c r="K39" s="23"/>
      <c r="L39" s="23"/>
      <c r="M39" s="23"/>
      <c r="N39" s="13"/>
    </row>
    <row r="40" spans="1:14" s="3" customFormat="1" ht="15.75" hidden="1">
      <c r="A40" s="13"/>
      <c r="B40" s="22" t="s">
        <v>80</v>
      </c>
      <c r="C40" s="98"/>
      <c r="D40" s="98"/>
      <c r="E40" s="98"/>
      <c r="F40" s="247">
        <v>6681.04464</v>
      </c>
      <c r="G40" s="248"/>
      <c r="H40" s="247">
        <v>7411.200714</v>
      </c>
      <c r="I40" s="249"/>
      <c r="J40" s="248"/>
      <c r="K40" s="24"/>
      <c r="L40" s="24"/>
      <c r="M40" s="24"/>
      <c r="N40" s="13"/>
    </row>
    <row r="41" spans="1:14" s="3" customFormat="1" ht="15.75" hidden="1">
      <c r="A41" s="13"/>
      <c r="B41" s="26" t="s">
        <v>214</v>
      </c>
      <c r="C41" s="102"/>
      <c r="D41" s="102"/>
      <c r="E41" s="98"/>
      <c r="F41" s="247">
        <f>246.9+5.87</f>
        <v>252.77</v>
      </c>
      <c r="G41" s="248"/>
      <c r="H41" s="247">
        <v>131.6290328</v>
      </c>
      <c r="I41" s="249"/>
      <c r="J41" s="248"/>
      <c r="K41" s="24"/>
      <c r="L41" s="24"/>
      <c r="M41" s="24"/>
      <c r="N41" s="13"/>
    </row>
    <row r="42" spans="1:14" s="3" customFormat="1" ht="15.75" hidden="1">
      <c r="A42" s="13"/>
      <c r="B42" s="25" t="s">
        <v>81</v>
      </c>
      <c r="C42" s="103"/>
      <c r="D42" s="103"/>
      <c r="E42" s="98"/>
      <c r="F42" s="247"/>
      <c r="G42" s="248"/>
      <c r="H42" s="247"/>
      <c r="I42" s="249"/>
      <c r="J42" s="248"/>
      <c r="K42" s="24"/>
      <c r="L42" s="24"/>
      <c r="M42" s="24"/>
      <c r="N42" s="13"/>
    </row>
    <row r="43" spans="1:14" s="3" customFormat="1" ht="15.75" hidden="1">
      <c r="A43" s="13"/>
      <c r="B43" s="25" t="s">
        <v>82</v>
      </c>
      <c r="C43" s="103"/>
      <c r="D43" s="103"/>
      <c r="E43" s="98"/>
      <c r="F43" s="247">
        <f>F40/G30</f>
        <v>0.7896282519796715</v>
      </c>
      <c r="G43" s="248"/>
      <c r="H43" s="247">
        <f>H40/I30</f>
        <v>1.0460410323218066</v>
      </c>
      <c r="I43" s="249"/>
      <c r="J43" s="248"/>
      <c r="K43" s="24"/>
      <c r="L43" s="24"/>
      <c r="M43" s="24"/>
      <c r="N43" s="13"/>
    </row>
    <row r="44" spans="1:14" s="3" customFormat="1" ht="15.75" hidden="1">
      <c r="A44" s="13"/>
      <c r="B44" s="25" t="s">
        <v>83</v>
      </c>
      <c r="C44" s="103"/>
      <c r="D44" s="103"/>
      <c r="E44" s="98"/>
      <c r="F44" s="247"/>
      <c r="G44" s="248"/>
      <c r="H44" s="247"/>
      <c r="I44" s="249"/>
      <c r="J44" s="248"/>
      <c r="K44" s="24"/>
      <c r="L44" s="24"/>
      <c r="M44" s="24"/>
      <c r="N44" s="13"/>
    </row>
    <row r="45" spans="1:14" s="3" customFormat="1" ht="15.75" hidden="1">
      <c r="A45" s="13"/>
      <c r="B45" s="25" t="s">
        <v>84</v>
      </c>
      <c r="C45" s="103"/>
      <c r="D45" s="103"/>
      <c r="E45" s="98"/>
      <c r="F45" s="247">
        <v>485.741</v>
      </c>
      <c r="G45" s="248"/>
      <c r="H45" s="247">
        <v>523.375</v>
      </c>
      <c r="I45" s="249"/>
      <c r="J45" s="248"/>
      <c r="K45" s="24"/>
      <c r="L45" s="24"/>
      <c r="M45" s="24"/>
      <c r="N45" s="13"/>
    </row>
    <row r="46" spans="1:14" s="3" customFormat="1" ht="31.5" hidden="1">
      <c r="A46" s="13"/>
      <c r="B46" s="25" t="s">
        <v>85</v>
      </c>
      <c r="C46" s="103"/>
      <c r="D46" s="103"/>
      <c r="E46" s="98"/>
      <c r="F46" s="247">
        <f>F45/G30</f>
        <v>0.057409407871409995</v>
      </c>
      <c r="G46" s="248"/>
      <c r="H46" s="247">
        <f>H45/I30</f>
        <v>0.07387085391672547</v>
      </c>
      <c r="I46" s="249"/>
      <c r="J46" s="248"/>
      <c r="K46" s="24"/>
      <c r="L46" s="24"/>
      <c r="M46" s="24"/>
      <c r="N46" s="13"/>
    </row>
    <row r="47" spans="1:14" s="3" customFormat="1" ht="31.5" hidden="1">
      <c r="A47" s="13"/>
      <c r="B47" s="25" t="s">
        <v>86</v>
      </c>
      <c r="C47" s="103"/>
      <c r="D47" s="103"/>
      <c r="E47" s="98"/>
      <c r="F47" s="247"/>
      <c r="G47" s="248"/>
      <c r="H47" s="247">
        <v>10</v>
      </c>
      <c r="I47" s="249"/>
      <c r="J47" s="248"/>
      <c r="K47" s="24"/>
      <c r="L47" s="24"/>
      <c r="M47" s="24"/>
      <c r="N47" s="13"/>
    </row>
    <row r="48" spans="1:14" s="3" customFormat="1" ht="18.75" customHeight="1" hidden="1">
      <c r="A48" s="13"/>
      <c r="B48" s="208" t="s">
        <v>87</v>
      </c>
      <c r="C48" s="209"/>
      <c r="D48" s="209"/>
      <c r="E48" s="209"/>
      <c r="F48" s="209"/>
      <c r="G48" s="209"/>
      <c r="H48" s="209"/>
      <c r="I48" s="209"/>
      <c r="J48" s="209"/>
      <c r="K48" s="209"/>
      <c r="L48" s="209"/>
      <c r="M48" s="209"/>
      <c r="N48" s="13"/>
    </row>
    <row r="49" spans="1:14" s="3" customFormat="1" ht="15.75" hidden="1">
      <c r="A49" s="13"/>
      <c r="B49" s="25" t="s">
        <v>88</v>
      </c>
      <c r="C49" s="103"/>
      <c r="D49" s="103"/>
      <c r="E49" s="98"/>
      <c r="F49" s="244">
        <v>156.1837037</v>
      </c>
      <c r="G49" s="245"/>
      <c r="H49" s="244">
        <v>174.4003704</v>
      </c>
      <c r="I49" s="246"/>
      <c r="J49" s="245"/>
      <c r="K49" s="23"/>
      <c r="L49" s="23"/>
      <c r="M49" s="23"/>
      <c r="N49" s="13"/>
    </row>
    <row r="50" spans="1:14" s="3" customFormat="1" ht="31.5" hidden="1">
      <c r="A50" s="13"/>
      <c r="B50" s="25" t="s">
        <v>89</v>
      </c>
      <c r="C50" s="103"/>
      <c r="D50" s="103"/>
      <c r="E50" s="98"/>
      <c r="F50" s="244">
        <v>0.79</v>
      </c>
      <c r="G50" s="245"/>
      <c r="H50" s="244">
        <v>0.78</v>
      </c>
      <c r="I50" s="246"/>
      <c r="J50" s="245"/>
      <c r="K50" s="27"/>
      <c r="L50" s="27"/>
      <c r="M50" s="27"/>
      <c r="N50" s="13"/>
    </row>
    <row r="51" spans="1:14" s="3" customFormat="1" ht="18.75" customHeight="1" hidden="1">
      <c r="A51" s="13"/>
      <c r="B51" s="208" t="s">
        <v>90</v>
      </c>
      <c r="C51" s="209"/>
      <c r="D51" s="209"/>
      <c r="E51" s="209"/>
      <c r="F51" s="209"/>
      <c r="G51" s="209"/>
      <c r="H51" s="209"/>
      <c r="I51" s="209"/>
      <c r="J51" s="209"/>
      <c r="K51" s="209"/>
      <c r="L51" s="209"/>
      <c r="M51" s="209"/>
      <c r="N51" s="13"/>
    </row>
    <row r="52" spans="1:14" s="3" customFormat="1" ht="18.75" customHeight="1" hidden="1">
      <c r="A52" s="13"/>
      <c r="B52" s="25" t="s">
        <v>91</v>
      </c>
      <c r="C52" s="103"/>
      <c r="D52" s="103"/>
      <c r="E52" s="98"/>
      <c r="F52" s="244"/>
      <c r="G52" s="245"/>
      <c r="H52" s="244"/>
      <c r="I52" s="245"/>
      <c r="J52" s="219"/>
      <c r="K52" s="220"/>
      <c r="L52" s="221"/>
      <c r="M52" s="89"/>
      <c r="N52" s="13"/>
    </row>
    <row r="53" spans="1:14" s="3" customFormat="1" ht="31.5" hidden="1">
      <c r="A53" s="13"/>
      <c r="B53" s="25" t="s">
        <v>92</v>
      </c>
      <c r="C53" s="103"/>
      <c r="D53" s="103"/>
      <c r="E53" s="98"/>
      <c r="F53" s="244"/>
      <c r="G53" s="245"/>
      <c r="H53" s="244"/>
      <c r="I53" s="245"/>
      <c r="J53" s="219"/>
      <c r="K53" s="220"/>
      <c r="L53" s="221"/>
      <c r="M53" s="23"/>
      <c r="N53" s="13"/>
    </row>
    <row r="54" spans="1:14" s="3" customFormat="1" ht="18.75" customHeight="1" hidden="1">
      <c r="A54" s="13"/>
      <c r="B54" s="208" t="s">
        <v>93</v>
      </c>
      <c r="C54" s="209"/>
      <c r="D54" s="209"/>
      <c r="E54" s="209"/>
      <c r="F54" s="209"/>
      <c r="G54" s="209"/>
      <c r="H54" s="209"/>
      <c r="I54" s="209"/>
      <c r="J54" s="209"/>
      <c r="K54" s="209"/>
      <c r="L54" s="209"/>
      <c r="M54" s="209"/>
      <c r="N54" s="13"/>
    </row>
    <row r="55" spans="1:14" s="3" customFormat="1" ht="37.5" customHeight="1" hidden="1">
      <c r="A55" s="30"/>
      <c r="B55" s="28" t="s">
        <v>94</v>
      </c>
      <c r="C55" s="104"/>
      <c r="D55" s="104"/>
      <c r="E55" s="88"/>
      <c r="F55" s="240" t="s">
        <v>192</v>
      </c>
      <c r="G55" s="241"/>
      <c r="H55" s="240" t="s">
        <v>193</v>
      </c>
      <c r="I55" s="241"/>
      <c r="J55" s="222" t="s">
        <v>194</v>
      </c>
      <c r="K55" s="223"/>
      <c r="L55" s="224"/>
      <c r="M55" s="88" t="s">
        <v>195</v>
      </c>
      <c r="N55" s="13"/>
    </row>
    <row r="56" spans="1:14" s="3" customFormat="1" ht="56.25" customHeight="1" hidden="1">
      <c r="A56" s="13"/>
      <c r="B56" s="29" t="s">
        <v>207</v>
      </c>
      <c r="C56" s="105"/>
      <c r="D56" s="105"/>
      <c r="E56" s="87"/>
      <c r="F56" s="238" t="s">
        <v>199</v>
      </c>
      <c r="G56" s="239"/>
      <c r="H56" s="242" t="s">
        <v>196</v>
      </c>
      <c r="I56" s="243"/>
      <c r="J56" s="228" t="s">
        <v>197</v>
      </c>
      <c r="K56" s="229"/>
      <c r="L56" s="230"/>
      <c r="M56" s="87" t="s">
        <v>198</v>
      </c>
      <c r="N56" s="13"/>
    </row>
    <row r="57" spans="1:14" s="3" customFormat="1" ht="18.75" customHeight="1" hidden="1">
      <c r="A57" s="13"/>
      <c r="B57" s="29" t="s">
        <v>208</v>
      </c>
      <c r="C57" s="105"/>
      <c r="D57" s="105"/>
      <c r="E57" s="87"/>
      <c r="F57" s="238" t="s">
        <v>200</v>
      </c>
      <c r="G57" s="239"/>
      <c r="H57" s="238" t="s">
        <v>201</v>
      </c>
      <c r="I57" s="239"/>
      <c r="J57" s="228" t="s">
        <v>197</v>
      </c>
      <c r="K57" s="229"/>
      <c r="L57" s="230"/>
      <c r="M57" s="87" t="s">
        <v>202</v>
      </c>
      <c r="N57" s="13"/>
    </row>
    <row r="58" spans="1:14" s="3" customFormat="1" ht="75" customHeight="1" hidden="1">
      <c r="A58" s="13"/>
      <c r="B58" s="29" t="s">
        <v>209</v>
      </c>
      <c r="C58" s="105"/>
      <c r="D58" s="105"/>
      <c r="E58" s="87"/>
      <c r="F58" s="238" t="s">
        <v>199</v>
      </c>
      <c r="G58" s="239"/>
      <c r="H58" s="238" t="s">
        <v>204</v>
      </c>
      <c r="I58" s="239"/>
      <c r="J58" s="228" t="s">
        <v>203</v>
      </c>
      <c r="K58" s="229"/>
      <c r="L58" s="230"/>
      <c r="M58" s="87" t="s">
        <v>205</v>
      </c>
      <c r="N58" s="13"/>
    </row>
    <row r="59" spans="1:14" s="3" customFormat="1" ht="15.75" hidden="1">
      <c r="A59" s="30" t="s">
        <v>226</v>
      </c>
      <c r="B59" s="31" t="s">
        <v>95</v>
      </c>
      <c r="C59" s="31"/>
      <c r="D59" s="31"/>
      <c r="E59" s="112"/>
      <c r="F59" s="134"/>
      <c r="G59" s="131"/>
      <c r="H59" s="131"/>
      <c r="I59" s="131"/>
      <c r="J59" s="131"/>
      <c r="K59" s="13"/>
      <c r="L59" s="13"/>
      <c r="M59" s="13"/>
      <c r="N59" s="13"/>
    </row>
    <row r="60" spans="1:14" s="3" customFormat="1" ht="15.75" hidden="1">
      <c r="A60" s="13" t="s">
        <v>96</v>
      </c>
      <c r="B60" s="13" t="s">
        <v>97</v>
      </c>
      <c r="C60" s="13"/>
      <c r="D60" s="13"/>
      <c r="E60" s="110"/>
      <c r="F60" s="131"/>
      <c r="G60" s="131"/>
      <c r="H60" s="131"/>
      <c r="I60" s="131"/>
      <c r="J60" s="131"/>
      <c r="K60" s="13"/>
      <c r="L60" s="13"/>
      <c r="M60" s="13"/>
      <c r="N60" s="13"/>
    </row>
    <row r="61" spans="1:14" s="3" customFormat="1" ht="15.75" hidden="1">
      <c r="A61" s="13"/>
      <c r="B61" s="13"/>
      <c r="C61" s="13"/>
      <c r="D61" s="13"/>
      <c r="E61" s="110"/>
      <c r="F61" s="131"/>
      <c r="G61" s="131"/>
      <c r="H61" s="135" t="s">
        <v>220</v>
      </c>
      <c r="I61" s="131"/>
      <c r="J61" s="131"/>
      <c r="K61" s="13"/>
      <c r="L61" s="13"/>
      <c r="M61" s="13"/>
      <c r="N61" s="13"/>
    </row>
    <row r="62" spans="1:14" s="5" customFormat="1" ht="79.5" customHeight="1" hidden="1">
      <c r="A62" s="32" t="s">
        <v>98</v>
      </c>
      <c r="B62" s="24" t="s">
        <v>99</v>
      </c>
      <c r="C62" s="24"/>
      <c r="D62" s="24"/>
      <c r="E62" s="24"/>
      <c r="F62" s="133" t="s">
        <v>100</v>
      </c>
      <c r="G62" s="133" t="s">
        <v>101</v>
      </c>
      <c r="H62" s="133" t="s">
        <v>102</v>
      </c>
      <c r="I62" s="131"/>
      <c r="J62" s="131"/>
      <c r="K62" s="13"/>
      <c r="L62" s="13"/>
      <c r="M62" s="13"/>
      <c r="N62" s="30"/>
    </row>
    <row r="63" spans="1:14" s="3" customFormat="1" ht="15.75" hidden="1">
      <c r="A63" s="32" t="s">
        <v>103</v>
      </c>
      <c r="B63" s="33"/>
      <c r="C63" s="33"/>
      <c r="D63" s="33"/>
      <c r="E63" s="113"/>
      <c r="F63" s="136"/>
      <c r="G63" s="136"/>
      <c r="H63" s="136"/>
      <c r="I63" s="131"/>
      <c r="J63" s="131"/>
      <c r="K63" s="13"/>
      <c r="L63" s="13"/>
      <c r="M63" s="13"/>
      <c r="N63" s="13"/>
    </row>
    <row r="64" spans="1:14" s="3" customFormat="1" ht="15.75" hidden="1">
      <c r="A64" s="13"/>
      <c r="B64" s="55"/>
      <c r="C64" s="55"/>
      <c r="D64" s="55"/>
      <c r="E64" s="43"/>
      <c r="F64" s="131"/>
      <c r="G64" s="131"/>
      <c r="H64" s="131"/>
      <c r="I64" s="131"/>
      <c r="J64" s="131"/>
      <c r="K64" s="13"/>
      <c r="L64" s="13"/>
      <c r="M64" s="13"/>
      <c r="N64" s="13"/>
    </row>
    <row r="65" spans="1:14" s="3" customFormat="1" ht="15.75">
      <c r="A65" s="13"/>
      <c r="B65" s="56" t="s">
        <v>259</v>
      </c>
      <c r="C65" s="56"/>
      <c r="D65" s="56"/>
      <c r="E65" s="38"/>
      <c r="F65" s="131"/>
      <c r="G65" s="131"/>
      <c r="H65" s="131"/>
      <c r="I65" s="131"/>
      <c r="J65" s="131"/>
      <c r="K65" s="13"/>
      <c r="L65" s="13"/>
      <c r="M65" s="13"/>
      <c r="N65" s="13"/>
    </row>
    <row r="66" spans="1:14" s="3" customFormat="1" ht="15.75">
      <c r="A66" s="13"/>
      <c r="B66" s="13"/>
      <c r="C66" s="13"/>
      <c r="D66" s="13"/>
      <c r="E66" s="110"/>
      <c r="F66" s="131"/>
      <c r="G66" s="131"/>
      <c r="H66" s="131"/>
      <c r="I66" s="131"/>
      <c r="J66" s="131" t="s">
        <v>105</v>
      </c>
      <c r="K66" s="13"/>
      <c r="L66" s="13"/>
      <c r="M66" s="13"/>
      <c r="N66" s="13"/>
    </row>
    <row r="67" spans="1:14" s="3" customFormat="1" ht="31.5">
      <c r="A67" s="57" t="s">
        <v>98</v>
      </c>
      <c r="B67" s="58" t="s">
        <v>106</v>
      </c>
      <c r="C67" s="109" t="s">
        <v>267</v>
      </c>
      <c r="D67" s="109" t="s">
        <v>268</v>
      </c>
      <c r="E67" s="109"/>
      <c r="F67" s="137" t="s">
        <v>107</v>
      </c>
      <c r="G67" s="137" t="s">
        <v>108</v>
      </c>
      <c r="H67" s="137" t="s">
        <v>109</v>
      </c>
      <c r="I67" s="137" t="s">
        <v>110</v>
      </c>
      <c r="J67" s="138" t="s">
        <v>258</v>
      </c>
      <c r="K67" s="57"/>
      <c r="L67" s="13"/>
      <c r="M67" s="13"/>
      <c r="N67" s="13"/>
    </row>
    <row r="68" spans="1:14" s="3" customFormat="1" ht="15.75">
      <c r="A68" s="57"/>
      <c r="B68" s="58"/>
      <c r="C68" s="58"/>
      <c r="D68" s="58"/>
      <c r="E68" s="58"/>
      <c r="F68" s="137"/>
      <c r="G68" s="137"/>
      <c r="H68" s="137"/>
      <c r="I68" s="137"/>
      <c r="J68" s="138" t="s">
        <v>112</v>
      </c>
      <c r="K68" s="57"/>
      <c r="L68" s="13"/>
      <c r="M68" s="13"/>
      <c r="N68" s="13"/>
    </row>
    <row r="69" spans="1:14" s="3" customFormat="1" ht="31.5">
      <c r="A69" s="57"/>
      <c r="B69" s="63" t="s">
        <v>113</v>
      </c>
      <c r="C69" s="63"/>
      <c r="D69" s="63"/>
      <c r="E69" s="129" t="s">
        <v>284</v>
      </c>
      <c r="F69" s="139">
        <f>25608.96/1000</f>
        <v>25.60896</v>
      </c>
      <c r="G69" s="139"/>
      <c r="H69" s="139"/>
      <c r="I69" s="139"/>
      <c r="J69" s="139">
        <f>бюдж!I71</f>
        <v>25.60896</v>
      </c>
      <c r="K69" s="58"/>
      <c r="L69" s="13"/>
      <c r="M69" s="90"/>
      <c r="N69" s="13"/>
    </row>
    <row r="70" spans="1:14" s="3" customFormat="1" ht="15.75">
      <c r="A70" s="57">
        <v>1</v>
      </c>
      <c r="B70" s="57" t="s">
        <v>114</v>
      </c>
      <c r="C70" s="65"/>
      <c r="D70" s="65"/>
      <c r="E70" s="114"/>
      <c r="F70" s="140"/>
      <c r="G70" s="141"/>
      <c r="H70" s="141"/>
      <c r="I70" s="141"/>
      <c r="J70" s="141"/>
      <c r="K70" s="66"/>
      <c r="L70" s="13"/>
      <c r="M70" s="13"/>
      <c r="N70" s="13"/>
    </row>
    <row r="71" spans="1:14" s="3" customFormat="1" ht="15.75">
      <c r="A71" s="57"/>
      <c r="B71" s="57" t="s">
        <v>221</v>
      </c>
      <c r="C71" s="57"/>
      <c r="D71" s="57"/>
      <c r="E71" s="58"/>
      <c r="F71" s="142">
        <f>SUM(F73:F77)</f>
        <v>2275.15</v>
      </c>
      <c r="G71" s="142">
        <f>SUM(G73:G77)</f>
        <v>2141.65</v>
      </c>
      <c r="H71" s="142">
        <f>SUM(H73:H77)</f>
        <v>1991.75</v>
      </c>
      <c r="I71" s="142">
        <f>SUM(I73:I77)</f>
        <v>2382.6000000000004</v>
      </c>
      <c r="J71" s="142">
        <f>SUM(J73:J77)</f>
        <v>8791.15</v>
      </c>
      <c r="K71" s="69"/>
      <c r="L71" s="13"/>
      <c r="M71" s="13"/>
      <c r="N71" s="13"/>
    </row>
    <row r="72" spans="1:14" s="3" customFormat="1" ht="21.75" customHeight="1">
      <c r="A72" s="60" t="s">
        <v>157</v>
      </c>
      <c r="B72" s="59" t="s">
        <v>115</v>
      </c>
      <c r="C72" s="59"/>
      <c r="D72" s="59"/>
      <c r="E72" s="115"/>
      <c r="F72" s="143"/>
      <c r="G72" s="143"/>
      <c r="H72" s="143"/>
      <c r="I72" s="143"/>
      <c r="J72" s="143"/>
      <c r="K72" s="59"/>
      <c r="L72" s="13"/>
      <c r="M72" s="13"/>
      <c r="N72" s="13"/>
    </row>
    <row r="73" spans="1:14" s="3" customFormat="1" ht="18" customHeight="1">
      <c r="A73" s="60"/>
      <c r="B73" s="71" t="s">
        <v>116</v>
      </c>
      <c r="C73" s="71"/>
      <c r="D73" s="71"/>
      <c r="E73" s="116">
        <v>4000</v>
      </c>
      <c r="F73" s="143">
        <f>внебюдж!E75+бюдж!E75</f>
        <v>2061.4</v>
      </c>
      <c r="G73" s="143">
        <f>внебюдж!F75+бюдж!F75</f>
        <v>1903.85</v>
      </c>
      <c r="H73" s="143">
        <f>внебюдж!G75+бюдж!G75</f>
        <v>1949.25</v>
      </c>
      <c r="I73" s="143">
        <f>внебюдж!H75+бюдж!H75</f>
        <v>2096.55</v>
      </c>
      <c r="J73" s="143">
        <f>SUM(F73:I73)</f>
        <v>8011.05</v>
      </c>
      <c r="K73" s="59">
        <f>J73/12</f>
        <v>667.5875</v>
      </c>
      <c r="L73" s="13"/>
      <c r="M73" s="13"/>
      <c r="N73" s="13"/>
    </row>
    <row r="74" spans="1:14" s="3" customFormat="1" ht="31.5">
      <c r="A74" s="60" t="s">
        <v>158</v>
      </c>
      <c r="B74" s="71" t="s">
        <v>212</v>
      </c>
      <c r="C74" s="71"/>
      <c r="D74" s="71"/>
      <c r="E74" s="116"/>
      <c r="F74" s="143"/>
      <c r="G74" s="143"/>
      <c r="H74" s="143"/>
      <c r="I74" s="143"/>
      <c r="J74" s="143">
        <f>SUM(F74:I74)</f>
        <v>0</v>
      </c>
      <c r="K74" s="59">
        <f>J74/9</f>
        <v>0</v>
      </c>
      <c r="L74" s="13"/>
      <c r="M74" s="91"/>
      <c r="N74" s="13"/>
    </row>
    <row r="75" spans="1:14" s="3" customFormat="1" ht="31.5">
      <c r="A75" s="60" t="s">
        <v>159</v>
      </c>
      <c r="B75" s="71" t="s">
        <v>117</v>
      </c>
      <c r="C75" s="71"/>
      <c r="D75" s="71"/>
      <c r="E75" s="116"/>
      <c r="F75" s="143"/>
      <c r="G75" s="143"/>
      <c r="H75" s="143"/>
      <c r="I75" s="143"/>
      <c r="J75" s="143"/>
      <c r="K75" s="59"/>
      <c r="L75" s="13"/>
      <c r="M75" s="91"/>
      <c r="N75" s="13"/>
    </row>
    <row r="76" spans="1:14" s="3" customFormat="1" ht="111" customHeight="1">
      <c r="A76" s="60" t="s">
        <v>160</v>
      </c>
      <c r="B76" s="59" t="s">
        <v>235</v>
      </c>
      <c r="C76" s="59"/>
      <c r="D76" s="59"/>
      <c r="E76" s="115">
        <v>2000</v>
      </c>
      <c r="F76" s="143">
        <f>внебюдж!E78+бюдж!E78</f>
        <v>213.75</v>
      </c>
      <c r="G76" s="143">
        <f>внебюдж!F78+бюдж!F78</f>
        <v>237.8</v>
      </c>
      <c r="H76" s="143">
        <f>внебюдж!G78+бюдж!G78</f>
        <v>42.5</v>
      </c>
      <c r="I76" s="143">
        <f>внебюдж!H78+бюдж!H78</f>
        <v>276.05</v>
      </c>
      <c r="J76" s="143">
        <f aca="true" t="shared" si="0" ref="J76:J82">SUM(F76:I76)</f>
        <v>770.1</v>
      </c>
      <c r="K76" s="59">
        <f>J76/9</f>
        <v>85.56666666666666</v>
      </c>
      <c r="L76" s="91"/>
      <c r="M76" s="13"/>
      <c r="N76" s="13"/>
    </row>
    <row r="77" spans="1:14" s="3" customFormat="1" ht="38.25" customHeight="1">
      <c r="A77" s="60" t="s">
        <v>161</v>
      </c>
      <c r="B77" s="59" t="s">
        <v>222</v>
      </c>
      <c r="C77" s="59"/>
      <c r="D77" s="59"/>
      <c r="E77" s="115">
        <v>2000</v>
      </c>
      <c r="F77" s="143"/>
      <c r="G77" s="143"/>
      <c r="H77" s="143"/>
      <c r="I77" s="143">
        <f>внебюдж!H79+бюдж!H79</f>
        <v>10</v>
      </c>
      <c r="J77" s="143">
        <f t="shared" si="0"/>
        <v>10</v>
      </c>
      <c r="K77" s="59"/>
      <c r="L77" s="91"/>
      <c r="M77" s="13"/>
      <c r="N77" s="13"/>
    </row>
    <row r="78" spans="1:14" s="3" customFormat="1" ht="16.5" customHeight="1">
      <c r="A78" s="57">
        <v>2</v>
      </c>
      <c r="B78" s="57" t="s">
        <v>118</v>
      </c>
      <c r="C78" s="57"/>
      <c r="D78" s="57"/>
      <c r="E78" s="58"/>
      <c r="F78" s="142">
        <f>SUM(F79,F83,F88,F90,F101,F97,F118,F119,F124)</f>
        <v>2300.7589599999997</v>
      </c>
      <c r="G78" s="142">
        <f>SUM(G79,G83,G90,G101,G97,G118,G119,G124)</f>
        <v>2141.6499999999996</v>
      </c>
      <c r="H78" s="142">
        <f>SUM(H79,H83,H90,H101,H97,H118,H119,H124)</f>
        <v>1991.7500000000002</v>
      </c>
      <c r="I78" s="142">
        <f>SUM(I79,I83,I90,I101,I97,I118,I119,I124)</f>
        <v>2382.6</v>
      </c>
      <c r="J78" s="142">
        <f>SUM(F78:I78)</f>
        <v>8816.75896</v>
      </c>
      <c r="K78" s="68">
        <f>SUM(K79,K83,K90,K101,K97,K118,K119,K124)</f>
        <v>6319.100166666666</v>
      </c>
      <c r="L78" s="92"/>
      <c r="M78" s="93"/>
      <c r="N78" s="13"/>
    </row>
    <row r="79" spans="1:14" s="3" customFormat="1" ht="15.75">
      <c r="A79" s="57"/>
      <c r="B79" s="57" t="s">
        <v>240</v>
      </c>
      <c r="C79" s="57">
        <v>210</v>
      </c>
      <c r="D79" s="57"/>
      <c r="E79" s="58"/>
      <c r="F79" s="144">
        <f>SUM(F80:F82)</f>
        <v>1623.40896</v>
      </c>
      <c r="G79" s="144">
        <f>SUM(G80:G82)</f>
        <v>1597.8</v>
      </c>
      <c r="H79" s="144">
        <f>SUM(H80:H82)</f>
        <v>1632.2</v>
      </c>
      <c r="I79" s="144">
        <f>SUM(I80:I82)</f>
        <v>1701.6</v>
      </c>
      <c r="J79" s="144">
        <f>SUM(F79:I79)</f>
        <v>6555.008959999999</v>
      </c>
      <c r="K79" s="70">
        <f>4708.81+1422.061</f>
        <v>6130.871</v>
      </c>
      <c r="L79" s="94"/>
      <c r="M79" s="93"/>
      <c r="N79" s="13"/>
    </row>
    <row r="80" spans="1:15" s="3" customFormat="1" ht="15.75">
      <c r="A80" s="57"/>
      <c r="B80" s="106" t="s">
        <v>269</v>
      </c>
      <c r="C80" s="59">
        <v>210</v>
      </c>
      <c r="D80" s="126">
        <v>211</v>
      </c>
      <c r="E80" s="115">
        <v>4000</v>
      </c>
      <c r="F80" s="143">
        <f>внебюдж!E82+бюдж!E82</f>
        <v>1227.3</v>
      </c>
      <c r="G80" s="143">
        <f>внебюдж!F82+бюдж!F82</f>
        <v>1227.3</v>
      </c>
      <c r="H80" s="143">
        <f>внебюдж!G82+бюдж!G82</f>
        <v>1253.5</v>
      </c>
      <c r="I80" s="143">
        <f>внебюдж!H82+бюдж!H82</f>
        <v>1306.8</v>
      </c>
      <c r="J80" s="143">
        <f t="shared" si="0"/>
        <v>5014.9</v>
      </c>
      <c r="K80" s="59"/>
      <c r="L80" s="13"/>
      <c r="M80" s="93"/>
      <c r="N80" s="13"/>
      <c r="O80" s="95"/>
    </row>
    <row r="81" spans="1:15" s="3" customFormat="1" ht="15.75">
      <c r="A81" s="57"/>
      <c r="B81" s="106" t="s">
        <v>270</v>
      </c>
      <c r="C81" s="59">
        <v>210</v>
      </c>
      <c r="D81" s="126">
        <v>213</v>
      </c>
      <c r="E81" s="115">
        <v>4000</v>
      </c>
      <c r="F81" s="143">
        <f>внебюдж!E83+бюдж!E83</f>
        <v>370.5</v>
      </c>
      <c r="G81" s="143">
        <f>внебюдж!F83+бюдж!F83</f>
        <v>370.5</v>
      </c>
      <c r="H81" s="143">
        <f>внебюдж!G83+бюдж!G83</f>
        <v>378.7</v>
      </c>
      <c r="I81" s="143">
        <f>внебюдж!H83+бюдж!H83</f>
        <v>394.8</v>
      </c>
      <c r="J81" s="143">
        <f t="shared" si="0"/>
        <v>1514.5</v>
      </c>
      <c r="K81" s="59"/>
      <c r="L81" s="13"/>
      <c r="M81" s="93"/>
      <c r="N81" s="13"/>
      <c r="O81" s="95"/>
    </row>
    <row r="82" spans="1:15" s="3" customFormat="1" ht="15.75">
      <c r="A82" s="57"/>
      <c r="B82" s="106" t="s">
        <v>270</v>
      </c>
      <c r="C82" s="59">
        <v>210</v>
      </c>
      <c r="D82" s="126">
        <v>213</v>
      </c>
      <c r="E82" s="130" t="s">
        <v>284</v>
      </c>
      <c r="F82" s="143">
        <f>25608.96/1000</f>
        <v>25.60896</v>
      </c>
      <c r="G82" s="143"/>
      <c r="H82" s="143"/>
      <c r="I82" s="143"/>
      <c r="J82" s="143">
        <f t="shared" si="0"/>
        <v>25.60896</v>
      </c>
      <c r="K82" s="59"/>
      <c r="L82" s="13"/>
      <c r="M82" s="93"/>
      <c r="N82" s="13"/>
      <c r="O82" s="95"/>
    </row>
    <row r="83" spans="1:15" s="3" customFormat="1" ht="15.75">
      <c r="A83" s="57"/>
      <c r="B83" s="124" t="s">
        <v>119</v>
      </c>
      <c r="C83" s="57">
        <v>212</v>
      </c>
      <c r="D83" s="127"/>
      <c r="E83" s="58"/>
      <c r="F83" s="144">
        <f>SUM(F84:F86)</f>
        <v>14.52</v>
      </c>
      <c r="G83" s="144">
        <f>SUM(G84:G86)</f>
        <v>0</v>
      </c>
      <c r="H83" s="144">
        <f>SUM(H84:H86)</f>
        <v>73.4</v>
      </c>
      <c r="I83" s="144">
        <f>SUM(I84:I86)</f>
        <v>0</v>
      </c>
      <c r="J83" s="144">
        <f>SUM(F83:I83)</f>
        <v>87.92</v>
      </c>
      <c r="K83" s="59">
        <f>J83/12</f>
        <v>7.326666666666667</v>
      </c>
      <c r="L83" s="94"/>
      <c r="M83" s="93"/>
      <c r="N83" s="13"/>
      <c r="O83" s="95"/>
    </row>
    <row r="84" spans="1:15" s="3" customFormat="1" ht="15.75">
      <c r="A84" s="57"/>
      <c r="B84" s="106" t="s">
        <v>247</v>
      </c>
      <c r="C84" s="108"/>
      <c r="D84" s="126">
        <v>101</v>
      </c>
      <c r="E84" s="115">
        <v>4000</v>
      </c>
      <c r="F84" s="143">
        <f>внебюдж!E85+бюдж!E85</f>
        <v>0</v>
      </c>
      <c r="G84" s="143">
        <f>внебюдж!F85+бюдж!F85</f>
        <v>0</v>
      </c>
      <c r="H84" s="143">
        <f>внебюдж!G85+бюдж!G85</f>
        <v>73.4</v>
      </c>
      <c r="I84" s="143">
        <f>внебюдж!H85+бюдж!H85</f>
        <v>0</v>
      </c>
      <c r="J84" s="143">
        <f aca="true" t="shared" si="1" ref="J84:J89">SUM(F84:I84)</f>
        <v>73.4</v>
      </c>
      <c r="K84" s="59"/>
      <c r="L84" s="94"/>
      <c r="M84" s="93"/>
      <c r="N84" s="13"/>
      <c r="O84" s="95"/>
    </row>
    <row r="85" spans="1:15" s="3" customFormat="1" ht="15.75">
      <c r="A85" s="57"/>
      <c r="B85" s="106" t="s">
        <v>248</v>
      </c>
      <c r="C85" s="108"/>
      <c r="D85" s="126">
        <v>102</v>
      </c>
      <c r="E85" s="115">
        <v>4000</v>
      </c>
      <c r="F85" s="143">
        <f>внебюдж!E86+бюдж!E86</f>
        <v>13.5</v>
      </c>
      <c r="G85" s="143">
        <f>внебюдж!F86+бюдж!F86</f>
        <v>0</v>
      </c>
      <c r="H85" s="143">
        <f>внебюдж!G86+бюдж!G86</f>
        <v>0</v>
      </c>
      <c r="I85" s="143">
        <f>внебюдж!H86+бюдж!H86</f>
        <v>0</v>
      </c>
      <c r="J85" s="143">
        <f t="shared" si="1"/>
        <v>13.5</v>
      </c>
      <c r="K85" s="59"/>
      <c r="L85" s="94"/>
      <c r="M85" s="93"/>
      <c r="N85" s="13"/>
      <c r="O85" s="95"/>
    </row>
    <row r="86" spans="1:15" s="3" customFormat="1" ht="15.75">
      <c r="A86" s="57"/>
      <c r="B86" s="106" t="s">
        <v>251</v>
      </c>
      <c r="C86" s="108"/>
      <c r="D86" s="126">
        <v>104</v>
      </c>
      <c r="E86" s="115">
        <v>4000</v>
      </c>
      <c r="F86" s="143">
        <f>внебюдж!E87+бюдж!E87</f>
        <v>1.02</v>
      </c>
      <c r="G86" s="143">
        <f>внебюдж!F87+бюдж!F87</f>
        <v>0</v>
      </c>
      <c r="H86" s="143">
        <f>внебюдж!G87+бюдж!G87</f>
        <v>0</v>
      </c>
      <c r="I86" s="143">
        <f>внебюдж!H87+бюдж!H87</f>
        <v>0</v>
      </c>
      <c r="J86" s="143">
        <f t="shared" si="1"/>
        <v>1.02</v>
      </c>
      <c r="K86" s="59"/>
      <c r="L86" s="94"/>
      <c r="M86" s="93"/>
      <c r="N86" s="13"/>
      <c r="O86" s="95"/>
    </row>
    <row r="87" spans="1:15" s="3" customFormat="1" ht="15.75">
      <c r="A87" s="57"/>
      <c r="B87" s="106" t="s">
        <v>271</v>
      </c>
      <c r="C87" s="108"/>
      <c r="D87" s="126">
        <v>103</v>
      </c>
      <c r="E87" s="115">
        <v>4000</v>
      </c>
      <c r="F87" s="143">
        <f>внебюдж!E88+бюдж!E88</f>
        <v>0</v>
      </c>
      <c r="G87" s="143">
        <f>внебюдж!F88+бюдж!F88</f>
        <v>0</v>
      </c>
      <c r="H87" s="143">
        <f>внебюдж!G88+бюдж!G88</f>
        <v>0</v>
      </c>
      <c r="I87" s="143">
        <f>внебюдж!H88+бюдж!H88</f>
        <v>0</v>
      </c>
      <c r="J87" s="143">
        <f t="shared" si="1"/>
        <v>0</v>
      </c>
      <c r="K87" s="59"/>
      <c r="L87" s="94"/>
      <c r="M87" s="93"/>
      <c r="N87" s="13"/>
      <c r="O87" s="95"/>
    </row>
    <row r="88" spans="1:15" s="3" customFormat="1" ht="15.75">
      <c r="A88" s="57"/>
      <c r="B88" s="57" t="s">
        <v>256</v>
      </c>
      <c r="C88" s="57">
        <v>222</v>
      </c>
      <c r="D88" s="127"/>
      <c r="E88" s="58"/>
      <c r="F88" s="144">
        <f>внебюдж!E89+бюдж!E89</f>
        <v>3</v>
      </c>
      <c r="G88" s="144"/>
      <c r="H88" s="144"/>
      <c r="I88" s="144"/>
      <c r="J88" s="144">
        <f t="shared" si="1"/>
        <v>3</v>
      </c>
      <c r="K88" s="59"/>
      <c r="L88" s="94"/>
      <c r="M88" s="93"/>
      <c r="N88" s="13"/>
      <c r="O88" s="95"/>
    </row>
    <row r="89" spans="1:15" s="3" customFormat="1" ht="15.75">
      <c r="A89" s="57"/>
      <c r="B89" s="106" t="s">
        <v>257</v>
      </c>
      <c r="C89" s="59"/>
      <c r="D89" s="126">
        <v>104</v>
      </c>
      <c r="E89" s="115">
        <v>4000</v>
      </c>
      <c r="F89" s="143">
        <f>внебюдж!E90+бюдж!E90</f>
        <v>3</v>
      </c>
      <c r="G89" s="143">
        <f>внебюдж!F90+бюдж!F90</f>
        <v>0</v>
      </c>
      <c r="H89" s="143">
        <f>внебюдж!G90+бюдж!G90</f>
        <v>0</v>
      </c>
      <c r="I89" s="143">
        <f>внебюдж!H90+бюдж!H90</f>
        <v>0</v>
      </c>
      <c r="J89" s="143">
        <f t="shared" si="1"/>
        <v>3</v>
      </c>
      <c r="K89" s="59"/>
      <c r="L89" s="94"/>
      <c r="M89" s="93"/>
      <c r="N89" s="13"/>
      <c r="O89" s="95"/>
    </row>
    <row r="90" spans="1:15" s="3" customFormat="1" ht="15.75">
      <c r="A90" s="57"/>
      <c r="B90" s="57" t="s">
        <v>120</v>
      </c>
      <c r="C90" s="57">
        <v>223</v>
      </c>
      <c r="D90" s="127"/>
      <c r="E90" s="58"/>
      <c r="F90" s="144">
        <f>SUM(F91:F96)</f>
        <v>264.68023</v>
      </c>
      <c r="G90" s="144">
        <f>SUM(G91:G96)</f>
        <v>230.14069</v>
      </c>
      <c r="H90" s="144">
        <f>SUM(H91:H96)</f>
        <v>158.83977000000002</v>
      </c>
      <c r="I90" s="144">
        <f>SUM(I91:I96)</f>
        <v>264.35</v>
      </c>
      <c r="J90" s="144">
        <f>SUM(J91:J96)</f>
        <v>918.0106900000001</v>
      </c>
      <c r="K90" s="59">
        <f>J90/12</f>
        <v>76.50089083333334</v>
      </c>
      <c r="L90" s="94"/>
      <c r="M90" s="93"/>
      <c r="N90" s="13"/>
      <c r="O90" s="95"/>
    </row>
    <row r="91" spans="1:15" s="3" customFormat="1" ht="15.75">
      <c r="A91" s="59"/>
      <c r="B91" s="72" t="s">
        <v>121</v>
      </c>
      <c r="C91" s="72">
        <v>221</v>
      </c>
      <c r="D91" s="125"/>
      <c r="E91" s="115">
        <v>4000</v>
      </c>
      <c r="F91" s="143">
        <f>внебюдж!E92+бюдж!E92</f>
        <v>25.53023</v>
      </c>
      <c r="G91" s="143">
        <f>внебюдж!F92+бюдж!F92</f>
        <v>4.05</v>
      </c>
      <c r="H91" s="143">
        <f>внебюдж!G92+бюдж!G92</f>
        <v>16.66715</v>
      </c>
      <c r="I91" s="143">
        <f>внебюдж!H92+бюдж!H92</f>
        <v>4.05</v>
      </c>
      <c r="J91" s="145">
        <f>SUM(F91:I91)</f>
        <v>50.29738</v>
      </c>
      <c r="K91" s="59">
        <f>J91/12</f>
        <v>4.191448333333333</v>
      </c>
      <c r="L91" s="93"/>
      <c r="M91" s="93"/>
      <c r="N91" s="13"/>
      <c r="O91" s="95"/>
    </row>
    <row r="92" spans="1:15" s="3" customFormat="1" ht="15.75">
      <c r="A92" s="59"/>
      <c r="B92" s="72" t="s">
        <v>122</v>
      </c>
      <c r="C92" s="72">
        <v>223</v>
      </c>
      <c r="D92" s="126">
        <v>110</v>
      </c>
      <c r="E92" s="115">
        <v>4000</v>
      </c>
      <c r="F92" s="143">
        <f>внебюдж!E93+бюдж!E93</f>
        <v>5</v>
      </c>
      <c r="G92" s="143">
        <f>внебюдж!F93+бюдж!F93</f>
        <v>0</v>
      </c>
      <c r="H92" s="143">
        <f>внебюдж!G93+бюдж!G93</f>
        <v>4.2</v>
      </c>
      <c r="I92" s="143">
        <f>внебюдж!H93+бюдж!H93</f>
        <v>0</v>
      </c>
      <c r="J92" s="145">
        <f aca="true" t="shared" si="2" ref="J92:J110">SUM(F92:I92)</f>
        <v>9.2</v>
      </c>
      <c r="K92" s="59">
        <f>J92/12</f>
        <v>0.7666666666666666</v>
      </c>
      <c r="L92" s="93"/>
      <c r="M92" s="93"/>
      <c r="N92" s="13"/>
      <c r="O92" s="95"/>
    </row>
    <row r="93" spans="1:15" s="3" customFormat="1" ht="15.75">
      <c r="A93" s="59"/>
      <c r="B93" s="72" t="s">
        <v>183</v>
      </c>
      <c r="C93" s="72">
        <v>223</v>
      </c>
      <c r="D93" s="126">
        <v>127</v>
      </c>
      <c r="E93" s="115">
        <v>4000</v>
      </c>
      <c r="F93" s="143">
        <f>внебюдж!E94+бюдж!E94</f>
        <v>0</v>
      </c>
      <c r="G93" s="143"/>
      <c r="H93" s="143">
        <f>внебюдж!G94+бюдж!G94</f>
        <v>0</v>
      </c>
      <c r="I93" s="143">
        <f>внебюдж!H94+бюдж!H94</f>
        <v>0</v>
      </c>
      <c r="J93" s="145">
        <f t="shared" si="2"/>
        <v>0</v>
      </c>
      <c r="K93" s="59"/>
      <c r="L93" s="93"/>
      <c r="M93" s="93"/>
      <c r="N93" s="13"/>
      <c r="O93" s="95"/>
    </row>
    <row r="94" spans="1:15" s="3" customFormat="1" ht="15.75">
      <c r="A94" s="59"/>
      <c r="B94" s="72" t="s">
        <v>183</v>
      </c>
      <c r="C94" s="72">
        <v>223</v>
      </c>
      <c r="D94" s="126">
        <v>127</v>
      </c>
      <c r="E94" s="115">
        <v>2000</v>
      </c>
      <c r="F94" s="143">
        <f>внебюдж!E94</f>
        <v>0</v>
      </c>
      <c r="G94" s="143">
        <f>внебюдж!F94</f>
        <v>3.09069</v>
      </c>
      <c r="H94" s="143">
        <f>внебюдж!G94</f>
        <v>0</v>
      </c>
      <c r="I94" s="143">
        <f>внебюдж!H94</f>
        <v>0</v>
      </c>
      <c r="J94" s="145">
        <f t="shared" si="2"/>
        <v>3.09069</v>
      </c>
      <c r="K94" s="59"/>
      <c r="L94" s="93"/>
      <c r="M94" s="93"/>
      <c r="N94" s="13"/>
      <c r="O94" s="95"/>
    </row>
    <row r="95" spans="1:15" s="3" customFormat="1" ht="15.75">
      <c r="A95" s="59"/>
      <c r="B95" s="72" t="s">
        <v>123</v>
      </c>
      <c r="C95" s="72">
        <v>223</v>
      </c>
      <c r="D95" s="126">
        <v>107</v>
      </c>
      <c r="E95" s="115">
        <v>4000</v>
      </c>
      <c r="F95" s="143">
        <f>внебюдж!E95+бюдж!E95</f>
        <v>213.15</v>
      </c>
      <c r="G95" s="143">
        <f>внебюдж!F95+бюдж!F95</f>
        <v>213</v>
      </c>
      <c r="H95" s="143">
        <f>внебюдж!G95+бюдж!G95</f>
        <v>132.97262</v>
      </c>
      <c r="I95" s="143">
        <f>внебюдж!H95+бюдж!H95</f>
        <v>237.1</v>
      </c>
      <c r="J95" s="145">
        <f t="shared" si="2"/>
        <v>796.22262</v>
      </c>
      <c r="K95" s="59">
        <f aca="true" t="shared" si="3" ref="K95:K106">J95/12</f>
        <v>66.351885</v>
      </c>
      <c r="L95" s="93"/>
      <c r="M95" s="93"/>
      <c r="N95" s="13"/>
      <c r="O95" s="95"/>
    </row>
    <row r="96" spans="1:15" s="3" customFormat="1" ht="15.75">
      <c r="A96" s="59"/>
      <c r="B96" s="72" t="s">
        <v>124</v>
      </c>
      <c r="C96" s="72">
        <v>223</v>
      </c>
      <c r="D96" s="126">
        <v>109</v>
      </c>
      <c r="E96" s="115">
        <v>4000</v>
      </c>
      <c r="F96" s="143">
        <f>внебюдж!E96+бюдж!E96</f>
        <v>21</v>
      </c>
      <c r="G96" s="143">
        <f>внебюдж!F96+бюдж!F96</f>
        <v>10</v>
      </c>
      <c r="H96" s="143">
        <f>внебюдж!G96+бюдж!G96</f>
        <v>5</v>
      </c>
      <c r="I96" s="143">
        <f>внебюдж!H96+бюдж!H96</f>
        <v>23.2</v>
      </c>
      <c r="J96" s="145">
        <f t="shared" si="2"/>
        <v>59.2</v>
      </c>
      <c r="K96" s="59">
        <f t="shared" si="3"/>
        <v>4.933333333333334</v>
      </c>
      <c r="L96" s="93"/>
      <c r="M96" s="93"/>
      <c r="N96" s="13"/>
      <c r="O96" s="95"/>
    </row>
    <row r="97" spans="1:15" s="3" customFormat="1" ht="15.75">
      <c r="A97" s="57"/>
      <c r="B97" s="57" t="s">
        <v>127</v>
      </c>
      <c r="C97" s="57">
        <v>225</v>
      </c>
      <c r="D97" s="126"/>
      <c r="E97" s="58"/>
      <c r="F97" s="144">
        <f>SUM(F98:F100)</f>
        <v>23.98977</v>
      </c>
      <c r="G97" s="144">
        <f>SUM(G98:G100)</f>
        <v>0</v>
      </c>
      <c r="H97" s="144">
        <f>SUM(H98:H100)</f>
        <v>0</v>
      </c>
      <c r="I97" s="144">
        <f>SUM(I98:I100)</f>
        <v>0</v>
      </c>
      <c r="J97" s="144">
        <f>SUM(J98:J100)</f>
        <v>23.98977</v>
      </c>
      <c r="K97" s="59">
        <f>J97/12</f>
        <v>1.9991475</v>
      </c>
      <c r="L97" s="94"/>
      <c r="M97" s="93"/>
      <c r="N97" s="13"/>
      <c r="O97" s="95"/>
    </row>
    <row r="98" spans="1:15" s="3" customFormat="1" ht="15.75">
      <c r="A98" s="59"/>
      <c r="B98" s="72" t="s">
        <v>252</v>
      </c>
      <c r="C98" s="72"/>
      <c r="D98" s="128" t="s">
        <v>272</v>
      </c>
      <c r="E98" s="115">
        <v>4000</v>
      </c>
      <c r="F98" s="143">
        <f>внебюдж!E98+бюдж!E98</f>
        <v>5.6</v>
      </c>
      <c r="G98" s="143">
        <f>внебюдж!F98+бюдж!F98</f>
        <v>0</v>
      </c>
      <c r="H98" s="143">
        <f>внебюдж!G98+бюдж!G98</f>
        <v>0</v>
      </c>
      <c r="I98" s="143">
        <f>внебюдж!H98+бюдж!H98</f>
        <v>0</v>
      </c>
      <c r="J98" s="145">
        <f>SUM(F98:I98)</f>
        <v>5.6</v>
      </c>
      <c r="K98" s="59">
        <f>J98/12</f>
        <v>0.4666666666666666</v>
      </c>
      <c r="L98" s="13"/>
      <c r="M98" s="93"/>
      <c r="N98" s="13"/>
      <c r="O98" s="95"/>
    </row>
    <row r="99" spans="1:15" s="3" customFormat="1" ht="15.75" hidden="1">
      <c r="A99" s="59"/>
      <c r="B99" s="72"/>
      <c r="C99" s="72"/>
      <c r="D99" s="126">
        <v>104</v>
      </c>
      <c r="E99" s="115"/>
      <c r="F99" s="143">
        <f>внебюдж!E99+бюдж!E99</f>
        <v>0</v>
      </c>
      <c r="G99" s="143">
        <f>внебюдж!F99+бюдж!F99</f>
        <v>0</v>
      </c>
      <c r="H99" s="143">
        <f>внебюдж!G99+бюдж!G99</f>
        <v>0</v>
      </c>
      <c r="I99" s="143">
        <f>внебюдж!H99+бюдж!H99</f>
        <v>0</v>
      </c>
      <c r="J99" s="145">
        <f>SUM(F99:I99)</f>
        <v>0</v>
      </c>
      <c r="K99" s="59">
        <f>J99/12</f>
        <v>0</v>
      </c>
      <c r="L99" s="13"/>
      <c r="M99" s="93"/>
      <c r="N99" s="13"/>
      <c r="O99" s="95"/>
    </row>
    <row r="100" spans="1:15" s="3" customFormat="1" ht="15.75">
      <c r="A100" s="59"/>
      <c r="B100" s="72" t="s">
        <v>126</v>
      </c>
      <c r="C100" s="72"/>
      <c r="D100" s="126">
        <v>111</v>
      </c>
      <c r="E100" s="115">
        <v>4000</v>
      </c>
      <c r="F100" s="143">
        <f>внебюдж!E100+бюдж!E100</f>
        <v>18.38977</v>
      </c>
      <c r="G100" s="143">
        <f>внебюдж!F100+бюдж!F100</f>
        <v>0</v>
      </c>
      <c r="H100" s="143">
        <f>внебюдж!G100+бюдж!G100</f>
        <v>0</v>
      </c>
      <c r="I100" s="143">
        <f>внебюдж!H100+бюдж!H100</f>
        <v>0</v>
      </c>
      <c r="J100" s="145">
        <f>SUM(F100:I100)</f>
        <v>18.38977</v>
      </c>
      <c r="K100" s="59">
        <f>J100/12</f>
        <v>1.5324808333333333</v>
      </c>
      <c r="L100" s="13"/>
      <c r="M100" s="93"/>
      <c r="N100" s="13"/>
      <c r="O100" s="95"/>
    </row>
    <row r="101" spans="1:15" s="3" customFormat="1" ht="15.75">
      <c r="A101" s="57"/>
      <c r="B101" s="57" t="s">
        <v>125</v>
      </c>
      <c r="C101" s="57">
        <v>226</v>
      </c>
      <c r="D101" s="126"/>
      <c r="E101" s="58"/>
      <c r="F101" s="144">
        <f>SUM(F102:F110)</f>
        <v>52.1324</v>
      </c>
      <c r="G101" s="144">
        <f>SUM(G102:G110)</f>
        <v>40.05206</v>
      </c>
      <c r="H101" s="144">
        <f>SUM(H102:H110)</f>
        <v>31.648199999999996</v>
      </c>
      <c r="I101" s="144">
        <f>SUM(I102:I110)</f>
        <v>47.4776</v>
      </c>
      <c r="J101" s="144">
        <f>SUM(J102:J110)</f>
        <v>171.31026</v>
      </c>
      <c r="K101" s="59">
        <f t="shared" si="3"/>
        <v>14.275855</v>
      </c>
      <c r="L101" s="94"/>
      <c r="M101" s="93"/>
      <c r="N101" s="13"/>
      <c r="O101" s="95"/>
    </row>
    <row r="102" spans="1:15" s="3" customFormat="1" ht="15.75">
      <c r="A102" s="59"/>
      <c r="B102" s="72" t="s">
        <v>253</v>
      </c>
      <c r="C102" s="107"/>
      <c r="D102" s="126">
        <v>104</v>
      </c>
      <c r="E102" s="115">
        <v>4000</v>
      </c>
      <c r="F102" s="143">
        <f>внебюдж!E109+бюдж!E109</f>
        <v>2.8000000000000003</v>
      </c>
      <c r="G102" s="143">
        <f>внебюдж!F109+бюдж!F109</f>
        <v>0</v>
      </c>
      <c r="H102" s="143">
        <f>внебюдж!G109+бюдж!G109</f>
        <v>0</v>
      </c>
      <c r="I102" s="143">
        <f>внебюдж!H109+бюдж!H109</f>
        <v>0</v>
      </c>
      <c r="J102" s="145">
        <f t="shared" si="2"/>
        <v>2.8000000000000003</v>
      </c>
      <c r="K102" s="59">
        <f t="shared" si="3"/>
        <v>0.23333333333333336</v>
      </c>
      <c r="L102" s="13"/>
      <c r="M102" s="93"/>
      <c r="N102" s="13"/>
      <c r="O102" s="95"/>
    </row>
    <row r="103" spans="1:15" s="3" customFormat="1" ht="15.75">
      <c r="A103" s="59"/>
      <c r="B103" s="72" t="s">
        <v>246</v>
      </c>
      <c r="C103" s="72"/>
      <c r="D103" s="126">
        <v>137</v>
      </c>
      <c r="E103" s="115">
        <v>4000</v>
      </c>
      <c r="F103" s="143">
        <f>внебюдж!E110+бюдж!E110</f>
        <v>3.2</v>
      </c>
      <c r="G103" s="143"/>
      <c r="H103" s="143">
        <f>внебюдж!G110+бюдж!G110</f>
        <v>0</v>
      </c>
      <c r="I103" s="143">
        <f>внебюдж!H110+бюдж!H110</f>
        <v>0</v>
      </c>
      <c r="J103" s="145">
        <f t="shared" si="2"/>
        <v>3.2</v>
      </c>
      <c r="K103" s="59">
        <f t="shared" si="3"/>
        <v>0.26666666666666666</v>
      </c>
      <c r="L103" s="13"/>
      <c r="M103" s="93"/>
      <c r="N103" s="13"/>
      <c r="O103" s="95"/>
    </row>
    <row r="104" spans="1:15" s="3" customFormat="1" ht="15.75">
      <c r="A104" s="59"/>
      <c r="B104" s="72" t="s">
        <v>246</v>
      </c>
      <c r="C104" s="72"/>
      <c r="D104" s="128" t="s">
        <v>283</v>
      </c>
      <c r="E104" s="115">
        <v>2000</v>
      </c>
      <c r="F104" s="143"/>
      <c r="G104" s="143">
        <f>внебюдж!F110</f>
        <v>4.25206</v>
      </c>
      <c r="H104" s="143"/>
      <c r="I104" s="143"/>
      <c r="J104" s="145">
        <f t="shared" si="2"/>
        <v>4.25206</v>
      </c>
      <c r="K104" s="59"/>
      <c r="L104" s="13"/>
      <c r="M104" s="93"/>
      <c r="N104" s="13"/>
      <c r="O104" s="95"/>
    </row>
    <row r="105" spans="1:15" s="3" customFormat="1" ht="15.75">
      <c r="A105" s="59"/>
      <c r="B105" s="72" t="s">
        <v>126</v>
      </c>
      <c r="C105" s="72"/>
      <c r="D105" s="128" t="s">
        <v>272</v>
      </c>
      <c r="E105" s="117" t="s">
        <v>281</v>
      </c>
      <c r="F105" s="143">
        <f>внебюдж!E111+бюдж!E111</f>
        <v>25</v>
      </c>
      <c r="G105" s="143">
        <f>внебюдж!F111+бюдж!F111</f>
        <v>0</v>
      </c>
      <c r="H105" s="143">
        <f>внебюдж!G111+бюдж!G111</f>
        <v>15.458199999999998</v>
      </c>
      <c r="I105" s="143">
        <f>внебюдж!H111+бюдж!H111</f>
        <v>0</v>
      </c>
      <c r="J105" s="145">
        <f>SUM(F105:I105)</f>
        <v>40.4582</v>
      </c>
      <c r="K105" s="59">
        <f t="shared" si="3"/>
        <v>3.3715166666666665</v>
      </c>
      <c r="L105" s="93"/>
      <c r="M105" s="93"/>
      <c r="N105" s="93"/>
      <c r="O105" s="95"/>
    </row>
    <row r="106" spans="1:15" s="3" customFormat="1" ht="15.75" hidden="1">
      <c r="A106" s="59"/>
      <c r="B106" s="72" t="s">
        <v>245</v>
      </c>
      <c r="C106" s="72"/>
      <c r="D106" s="126">
        <v>104</v>
      </c>
      <c r="E106" s="115"/>
      <c r="F106" s="143">
        <f>внебюдж!E112+бюдж!E112</f>
        <v>0</v>
      </c>
      <c r="G106" s="143">
        <f>внебюдж!F112+бюдж!F112</f>
        <v>0</v>
      </c>
      <c r="H106" s="143">
        <f>внебюдж!G112+бюдж!G112</f>
        <v>0</v>
      </c>
      <c r="I106" s="143">
        <f>внебюдж!H112+бюдж!H112</f>
        <v>0</v>
      </c>
      <c r="J106" s="145">
        <f t="shared" si="2"/>
        <v>0</v>
      </c>
      <c r="K106" s="59">
        <f t="shared" si="3"/>
        <v>0</v>
      </c>
      <c r="L106" s="13"/>
      <c r="M106" s="93"/>
      <c r="N106" s="13"/>
      <c r="O106" s="95"/>
    </row>
    <row r="107" spans="1:15" s="3" customFormat="1" ht="15.75" hidden="1">
      <c r="A107" s="59"/>
      <c r="B107" s="72" t="s">
        <v>217</v>
      </c>
      <c r="C107" s="72"/>
      <c r="D107" s="126">
        <v>104</v>
      </c>
      <c r="E107" s="115"/>
      <c r="F107" s="143">
        <f>внебюдж!E113+бюдж!E113</f>
        <v>0</v>
      </c>
      <c r="G107" s="143">
        <f>внебюдж!F113+бюдж!F113</f>
        <v>0</v>
      </c>
      <c r="H107" s="143">
        <f>внебюдж!G113+бюдж!G113</f>
        <v>0</v>
      </c>
      <c r="I107" s="143">
        <f>внебюдж!H113+бюдж!H113</f>
        <v>0</v>
      </c>
      <c r="J107" s="145">
        <f t="shared" si="2"/>
        <v>0</v>
      </c>
      <c r="K107" s="59"/>
      <c r="L107" s="13"/>
      <c r="M107" s="93"/>
      <c r="N107" s="13"/>
      <c r="O107" s="95"/>
    </row>
    <row r="108" spans="1:15" s="3" customFormat="1" ht="15.75" hidden="1">
      <c r="A108" s="59"/>
      <c r="B108" s="72" t="s">
        <v>261</v>
      </c>
      <c r="C108" s="72"/>
      <c r="D108" s="126">
        <v>104</v>
      </c>
      <c r="E108" s="115"/>
      <c r="F108" s="143">
        <f>внебюдж!E114+бюдж!E114</f>
        <v>0</v>
      </c>
      <c r="G108" s="143">
        <f>внебюдж!F114+бюдж!F114</f>
        <v>0</v>
      </c>
      <c r="H108" s="143">
        <f>внебюдж!G114+бюдж!G114</f>
        <v>0</v>
      </c>
      <c r="I108" s="143">
        <f>внебюдж!H114+бюдж!H114</f>
        <v>0</v>
      </c>
      <c r="J108" s="145">
        <f t="shared" si="2"/>
        <v>0</v>
      </c>
      <c r="K108" s="59"/>
      <c r="L108" s="13"/>
      <c r="M108" s="93"/>
      <c r="N108" s="13"/>
      <c r="O108" s="95"/>
    </row>
    <row r="109" spans="1:15" s="3" customFormat="1" ht="34.5" customHeight="1">
      <c r="A109" s="59"/>
      <c r="B109" s="72" t="s">
        <v>185</v>
      </c>
      <c r="C109" s="107"/>
      <c r="D109" s="128" t="s">
        <v>272</v>
      </c>
      <c r="E109" s="117" t="s">
        <v>281</v>
      </c>
      <c r="F109" s="143">
        <f>внебюдж!E115+бюдж!E115</f>
        <v>16.11</v>
      </c>
      <c r="G109" s="143">
        <f>внебюдж!F115+бюдж!F115</f>
        <v>14</v>
      </c>
      <c r="H109" s="143">
        <f>внебюдж!G115+бюдж!G115</f>
        <v>16.189999999999998</v>
      </c>
      <c r="I109" s="143">
        <f>внебюдж!H115+бюдж!H115</f>
        <v>14</v>
      </c>
      <c r="J109" s="145">
        <f t="shared" si="2"/>
        <v>60.3</v>
      </c>
      <c r="K109" s="59"/>
      <c r="L109" s="93"/>
      <c r="M109" s="93"/>
      <c r="N109" s="13"/>
      <c r="O109" s="95"/>
    </row>
    <row r="110" spans="1:15" s="3" customFormat="1" ht="15.75">
      <c r="A110" s="59"/>
      <c r="B110" s="72" t="s">
        <v>252</v>
      </c>
      <c r="C110" s="107"/>
      <c r="D110" s="128" t="s">
        <v>272</v>
      </c>
      <c r="E110" s="117" t="s">
        <v>282</v>
      </c>
      <c r="F110" s="143">
        <f>внебюдж!E116</f>
        <v>5.022399999999999</v>
      </c>
      <c r="G110" s="143">
        <f>внебюдж!F116</f>
        <v>21.8</v>
      </c>
      <c r="H110" s="143">
        <f>внебюдж!G116</f>
        <v>0</v>
      </c>
      <c r="I110" s="143">
        <f>внебюдж!H116</f>
        <v>33.4776</v>
      </c>
      <c r="J110" s="145">
        <f t="shared" si="2"/>
        <v>60.300000000000004</v>
      </c>
      <c r="K110" s="59">
        <f>J110/9</f>
        <v>6.7</v>
      </c>
      <c r="L110" s="93"/>
      <c r="M110" s="93"/>
      <c r="N110" s="13"/>
      <c r="O110" s="95"/>
    </row>
    <row r="111" spans="1:15" s="3" customFormat="1" ht="15.75" hidden="1">
      <c r="A111" s="59"/>
      <c r="B111" s="72" t="s">
        <v>244</v>
      </c>
      <c r="C111" s="72"/>
      <c r="D111" s="126">
        <v>104</v>
      </c>
      <c r="E111" s="115"/>
      <c r="F111" s="143"/>
      <c r="G111" s="143"/>
      <c r="H111" s="143"/>
      <c r="I111" s="143"/>
      <c r="J111" s="145">
        <f aca="true" t="shared" si="4" ref="J111:J118">SUM(F111:I111)</f>
        <v>0</v>
      </c>
      <c r="K111" s="59">
        <f>J111/12</f>
        <v>0</v>
      </c>
      <c r="L111" s="13"/>
      <c r="M111" s="93"/>
      <c r="N111" s="13"/>
      <c r="O111" s="95"/>
    </row>
    <row r="112" spans="1:15" s="3" customFormat="1" ht="15.75" hidden="1">
      <c r="A112" s="59"/>
      <c r="B112" s="72" t="s">
        <v>128</v>
      </c>
      <c r="C112" s="72"/>
      <c r="D112" s="126">
        <v>104</v>
      </c>
      <c r="E112" s="115"/>
      <c r="F112" s="143"/>
      <c r="G112" s="143"/>
      <c r="H112" s="143"/>
      <c r="I112" s="143"/>
      <c r="J112" s="145">
        <f t="shared" si="4"/>
        <v>0</v>
      </c>
      <c r="K112" s="59">
        <f>J112/12</f>
        <v>0</v>
      </c>
      <c r="L112" s="93"/>
      <c r="M112" s="93"/>
      <c r="N112" s="13"/>
      <c r="O112" s="95"/>
    </row>
    <row r="113" spans="1:15" s="3" customFormat="1" ht="15.75" hidden="1">
      <c r="A113" s="59"/>
      <c r="B113" s="72" t="s">
        <v>216</v>
      </c>
      <c r="C113" s="72"/>
      <c r="D113" s="126">
        <v>104</v>
      </c>
      <c r="E113" s="115"/>
      <c r="F113" s="143"/>
      <c r="G113" s="143"/>
      <c r="H113" s="143"/>
      <c r="I113" s="143"/>
      <c r="J113" s="145">
        <f t="shared" si="4"/>
        <v>0</v>
      </c>
      <c r="K113" s="59"/>
      <c r="L113" s="93"/>
      <c r="M113" s="93"/>
      <c r="N113" s="13"/>
      <c r="O113" s="95"/>
    </row>
    <row r="114" spans="1:15" s="3" customFormat="1" ht="31.5" hidden="1">
      <c r="A114" s="59"/>
      <c r="B114" s="72" t="s">
        <v>129</v>
      </c>
      <c r="C114" s="72"/>
      <c r="D114" s="126">
        <v>104</v>
      </c>
      <c r="E114" s="115"/>
      <c r="F114" s="143"/>
      <c r="G114" s="143"/>
      <c r="H114" s="143"/>
      <c r="I114" s="143"/>
      <c r="J114" s="145">
        <f t="shared" si="4"/>
        <v>0</v>
      </c>
      <c r="K114" s="59">
        <f>J114/12</f>
        <v>0</v>
      </c>
      <c r="L114" s="13"/>
      <c r="M114" s="93"/>
      <c r="N114" s="13"/>
      <c r="O114" s="95"/>
    </row>
    <row r="115" spans="1:15" s="3" customFormat="1" ht="15.75" hidden="1">
      <c r="A115" s="59"/>
      <c r="B115" s="72" t="s">
        <v>130</v>
      </c>
      <c r="C115" s="72"/>
      <c r="D115" s="126">
        <v>104</v>
      </c>
      <c r="E115" s="115"/>
      <c r="F115" s="143"/>
      <c r="G115" s="143"/>
      <c r="H115" s="143"/>
      <c r="I115" s="143"/>
      <c r="J115" s="145">
        <f t="shared" si="4"/>
        <v>0</v>
      </c>
      <c r="K115" s="59">
        <f>J115/12</f>
        <v>0</v>
      </c>
      <c r="L115" s="13"/>
      <c r="M115" s="93"/>
      <c r="N115" s="13"/>
      <c r="O115" s="95"/>
    </row>
    <row r="116" spans="1:15" s="3" customFormat="1" ht="15.75" hidden="1">
      <c r="A116" s="59"/>
      <c r="B116" s="72" t="s">
        <v>184</v>
      </c>
      <c r="C116" s="72"/>
      <c r="D116" s="126">
        <v>104</v>
      </c>
      <c r="E116" s="115"/>
      <c r="F116" s="143"/>
      <c r="G116" s="143"/>
      <c r="H116" s="143"/>
      <c r="I116" s="143"/>
      <c r="J116" s="145">
        <f t="shared" si="4"/>
        <v>0</v>
      </c>
      <c r="K116" s="59"/>
      <c r="L116" s="93"/>
      <c r="M116" s="93"/>
      <c r="N116" s="13"/>
      <c r="O116" s="95"/>
    </row>
    <row r="117" spans="1:15" s="3" customFormat="1" ht="15.75" hidden="1">
      <c r="A117" s="59"/>
      <c r="B117" s="72" t="s">
        <v>131</v>
      </c>
      <c r="C117" s="72"/>
      <c r="D117" s="126">
        <v>104</v>
      </c>
      <c r="E117" s="115"/>
      <c r="F117" s="143"/>
      <c r="G117" s="143"/>
      <c r="H117" s="143"/>
      <c r="I117" s="143"/>
      <c r="J117" s="145">
        <f t="shared" si="4"/>
        <v>0</v>
      </c>
      <c r="K117" s="59">
        <f>J117/12</f>
        <v>0</v>
      </c>
      <c r="L117" s="93"/>
      <c r="M117" s="93"/>
      <c r="N117" s="13"/>
      <c r="O117" s="95"/>
    </row>
    <row r="118" spans="1:15" s="3" customFormat="1" ht="15.75">
      <c r="A118" s="59"/>
      <c r="B118" s="73" t="s">
        <v>215</v>
      </c>
      <c r="C118" s="73">
        <v>241</v>
      </c>
      <c r="D118" s="126"/>
      <c r="E118" s="58"/>
      <c r="F118" s="143"/>
      <c r="G118" s="143"/>
      <c r="H118" s="143"/>
      <c r="I118" s="143"/>
      <c r="J118" s="145">
        <f t="shared" si="4"/>
        <v>0</v>
      </c>
      <c r="K118" s="59">
        <f>J118/9</f>
        <v>0</v>
      </c>
      <c r="L118" s="93"/>
      <c r="M118" s="93"/>
      <c r="N118" s="13"/>
      <c r="O118" s="95"/>
    </row>
    <row r="119" spans="1:15" s="3" customFormat="1" ht="15.75">
      <c r="A119" s="57"/>
      <c r="B119" s="57" t="s">
        <v>132</v>
      </c>
      <c r="C119" s="57">
        <v>290</v>
      </c>
      <c r="D119" s="126"/>
      <c r="E119" s="58"/>
      <c r="F119" s="144">
        <f>SUM(F120:F123)</f>
        <v>13.30666</v>
      </c>
      <c r="G119" s="144">
        <f>SUM(G120:G123)</f>
        <v>6.1</v>
      </c>
      <c r="H119" s="144">
        <f>SUM(H120:H123)</f>
        <v>12.1</v>
      </c>
      <c r="I119" s="144">
        <f>SUM(I120:I123)</f>
        <v>2.2</v>
      </c>
      <c r="J119" s="144">
        <f>SUM(J120:J123)</f>
        <v>33.70666</v>
      </c>
      <c r="K119" s="59">
        <f>J119/12</f>
        <v>2.8088883333333334</v>
      </c>
      <c r="L119" s="94"/>
      <c r="M119" s="93"/>
      <c r="N119" s="13"/>
      <c r="O119" s="95"/>
    </row>
    <row r="120" spans="1:15" s="3" customFormat="1" ht="15.75">
      <c r="A120" s="59"/>
      <c r="B120" s="72" t="s">
        <v>133</v>
      </c>
      <c r="C120" s="72"/>
      <c r="D120" s="126">
        <v>143</v>
      </c>
      <c r="E120" s="115">
        <v>2000</v>
      </c>
      <c r="F120" s="143">
        <f>внебюдж!E119+бюдж!E119</f>
        <v>10.3</v>
      </c>
      <c r="G120" s="143">
        <f>внебюдж!F119+бюдж!F119</f>
        <v>6.1</v>
      </c>
      <c r="H120" s="143">
        <f>внебюдж!G119+бюдж!G119</f>
        <v>6.1</v>
      </c>
      <c r="I120" s="143">
        <f>внебюдж!H119+бюдж!H119</f>
        <v>2.2</v>
      </c>
      <c r="J120" s="143">
        <f>SUM(F120:I120)</f>
        <v>24.7</v>
      </c>
      <c r="K120" s="59">
        <f>J120/12</f>
        <v>2.058333333333333</v>
      </c>
      <c r="L120" s="93"/>
      <c r="M120" s="93"/>
      <c r="N120" s="13"/>
      <c r="O120" s="95"/>
    </row>
    <row r="121" spans="1:15" s="3" customFormat="1" ht="31.5">
      <c r="A121" s="59"/>
      <c r="B121" s="72" t="s">
        <v>254</v>
      </c>
      <c r="C121" s="72"/>
      <c r="D121" s="126">
        <v>144</v>
      </c>
      <c r="E121" s="115">
        <v>2000</v>
      </c>
      <c r="F121" s="143">
        <f>внебюдж!E120</f>
        <v>0.20666</v>
      </c>
      <c r="G121" s="143">
        <f>внебюдж!F120</f>
        <v>0</v>
      </c>
      <c r="H121" s="143">
        <f>внебюдж!G120</f>
        <v>0</v>
      </c>
      <c r="I121" s="143">
        <f>внебюдж!H120</f>
        <v>0</v>
      </c>
      <c r="J121" s="143">
        <f>SUM(F121:I121)</f>
        <v>0.20666</v>
      </c>
      <c r="K121" s="59"/>
      <c r="L121" s="93"/>
      <c r="M121" s="93"/>
      <c r="N121" s="13"/>
      <c r="O121" s="95"/>
    </row>
    <row r="122" spans="1:15" s="3" customFormat="1" ht="31.5">
      <c r="A122" s="59"/>
      <c r="B122" s="72" t="s">
        <v>254</v>
      </c>
      <c r="C122" s="72"/>
      <c r="D122" s="126">
        <v>143</v>
      </c>
      <c r="E122" s="115">
        <v>4000</v>
      </c>
      <c r="F122" s="143">
        <f>бюдж!E120</f>
        <v>2.8</v>
      </c>
      <c r="G122" s="143">
        <f>внебюдж!F120+бюдж!F120</f>
        <v>0</v>
      </c>
      <c r="H122" s="143">
        <f>внебюдж!G120+бюдж!G120</f>
        <v>6</v>
      </c>
      <c r="I122" s="143">
        <f>внебюдж!H120+бюдж!H120</f>
        <v>0</v>
      </c>
      <c r="J122" s="143">
        <f>SUM(F122:I122)</f>
        <v>8.8</v>
      </c>
      <c r="K122" s="59"/>
      <c r="L122" s="93"/>
      <c r="M122" s="93"/>
      <c r="N122" s="13"/>
      <c r="O122" s="95"/>
    </row>
    <row r="123" spans="1:15" s="3" customFormat="1" ht="15.75">
      <c r="A123" s="59"/>
      <c r="B123" s="72" t="s">
        <v>134</v>
      </c>
      <c r="C123" s="72"/>
      <c r="D123" s="126"/>
      <c r="E123" s="115"/>
      <c r="F123" s="143">
        <f>внебюдж!E121+бюдж!E121</f>
        <v>0</v>
      </c>
      <c r="G123" s="143">
        <f>внебюдж!F121+бюдж!F121</f>
        <v>0</v>
      </c>
      <c r="H123" s="143">
        <f>внебюдж!G121+бюдж!G121</f>
        <v>0</v>
      </c>
      <c r="I123" s="143">
        <f>внебюдж!H121+бюдж!H121</f>
        <v>0</v>
      </c>
      <c r="J123" s="145">
        <f aca="true" t="shared" si="5" ref="J123:J142">SUM(F123:I123)</f>
        <v>0</v>
      </c>
      <c r="K123" s="59">
        <f aca="true" t="shared" si="6" ref="K123:K130">J123/12</f>
        <v>0</v>
      </c>
      <c r="L123" s="13"/>
      <c r="M123" s="93"/>
      <c r="N123" s="13"/>
      <c r="O123" s="95"/>
    </row>
    <row r="124" spans="1:15" s="3" customFormat="1" ht="15.75">
      <c r="A124" s="57"/>
      <c r="B124" s="57" t="s">
        <v>135</v>
      </c>
      <c r="C124" s="57"/>
      <c r="D124" s="126"/>
      <c r="E124" s="58"/>
      <c r="F124" s="144">
        <f>SUM(F125:F142)</f>
        <v>305.72094000000004</v>
      </c>
      <c r="G124" s="144">
        <f>SUM(G125:G142)</f>
        <v>267.55724999999995</v>
      </c>
      <c r="H124" s="144">
        <f>SUM(H125:H142)</f>
        <v>83.56203</v>
      </c>
      <c r="I124" s="144">
        <f>SUM(I125:I142)</f>
        <v>366.9724</v>
      </c>
      <c r="J124" s="144">
        <f>SUM(J125:J142)</f>
        <v>1023.8126199999999</v>
      </c>
      <c r="K124" s="59">
        <f t="shared" si="6"/>
        <v>85.31771833333333</v>
      </c>
      <c r="L124" s="94"/>
      <c r="M124" s="93"/>
      <c r="N124" s="13"/>
      <c r="O124" s="95"/>
    </row>
    <row r="125" spans="1:15" s="3" customFormat="1" ht="31.5">
      <c r="A125" s="59"/>
      <c r="B125" s="72" t="s">
        <v>243</v>
      </c>
      <c r="C125" s="72">
        <v>310</v>
      </c>
      <c r="D125" s="126">
        <v>116</v>
      </c>
      <c r="E125" s="115">
        <v>2000</v>
      </c>
      <c r="F125" s="143">
        <f>внебюдж!E123+бюдж!E123</f>
        <v>0</v>
      </c>
      <c r="G125" s="143">
        <f>внебюдж!F123+бюдж!F123</f>
        <v>9</v>
      </c>
      <c r="H125" s="143">
        <f>внебюдж!G123+бюдж!G123</f>
        <v>0</v>
      </c>
      <c r="I125" s="143">
        <f>внебюдж!H123+бюдж!H123</f>
        <v>0</v>
      </c>
      <c r="J125" s="145">
        <f t="shared" si="5"/>
        <v>9</v>
      </c>
      <c r="K125" s="59">
        <f t="shared" si="6"/>
        <v>0.75</v>
      </c>
      <c r="L125" s="13"/>
      <c r="M125" s="93"/>
      <c r="N125" s="13"/>
      <c r="O125" s="95"/>
    </row>
    <row r="126" spans="1:15" s="3" customFormat="1" ht="15.75">
      <c r="A126" s="59"/>
      <c r="B126" s="72" t="s">
        <v>241</v>
      </c>
      <c r="C126" s="72">
        <v>310</v>
      </c>
      <c r="D126" s="126">
        <v>116</v>
      </c>
      <c r="E126" s="115">
        <v>2000</v>
      </c>
      <c r="F126" s="143">
        <f>внебюдж!E124+бюдж!E124</f>
        <v>0</v>
      </c>
      <c r="G126" s="143">
        <f>внебюдж!F124+бюдж!F124</f>
        <v>18.0576</v>
      </c>
      <c r="H126" s="143">
        <f>внебюдж!G124+бюдж!G124</f>
        <v>5</v>
      </c>
      <c r="I126" s="143">
        <f>внебюдж!H124+бюдж!H124</f>
        <v>22.442399999999992</v>
      </c>
      <c r="J126" s="145">
        <f t="shared" si="5"/>
        <v>45.49999999999999</v>
      </c>
      <c r="K126" s="59">
        <f t="shared" si="6"/>
        <v>3.791666666666666</v>
      </c>
      <c r="L126" s="93"/>
      <c r="M126" s="93"/>
      <c r="N126" s="13"/>
      <c r="O126" s="95"/>
    </row>
    <row r="127" spans="1:15" s="3" customFormat="1" ht="15.75">
      <c r="A127" s="59"/>
      <c r="B127" s="72" t="s">
        <v>252</v>
      </c>
      <c r="C127" s="72">
        <v>310</v>
      </c>
      <c r="D127" s="126">
        <v>116</v>
      </c>
      <c r="E127" s="115">
        <v>4000</v>
      </c>
      <c r="F127" s="143">
        <f>внебюдж!E125+бюдж!E125</f>
        <v>0</v>
      </c>
      <c r="G127" s="143">
        <f>внебюдж!F125+бюдж!F125</f>
        <v>0</v>
      </c>
      <c r="H127" s="143">
        <f>внебюдж!G125+бюдж!G125</f>
        <v>0</v>
      </c>
      <c r="I127" s="143">
        <f>внебюдж!H125+бюдж!H125</f>
        <v>0</v>
      </c>
      <c r="J127" s="145">
        <f>SUM(F127:I127)</f>
        <v>0</v>
      </c>
      <c r="K127" s="59"/>
      <c r="L127" s="93"/>
      <c r="M127" s="93"/>
      <c r="N127" s="13"/>
      <c r="O127" s="95"/>
    </row>
    <row r="128" spans="1:15" s="3" customFormat="1" ht="15.75">
      <c r="A128" s="59"/>
      <c r="B128" s="72" t="s">
        <v>136</v>
      </c>
      <c r="C128" s="72">
        <v>340</v>
      </c>
      <c r="D128" s="126">
        <v>119</v>
      </c>
      <c r="E128" s="115">
        <v>4000</v>
      </c>
      <c r="F128" s="143">
        <f>500/1000</f>
        <v>0.5</v>
      </c>
      <c r="G128" s="143">
        <f>внебюдж!F126+бюдж!F126</f>
        <v>0</v>
      </c>
      <c r="H128" s="143">
        <f>внебюдж!G126+бюдж!G126</f>
        <v>1.3</v>
      </c>
      <c r="I128" s="143">
        <f>внебюдж!H126+бюдж!H126</f>
        <v>0</v>
      </c>
      <c r="J128" s="145">
        <f t="shared" si="5"/>
        <v>1.8</v>
      </c>
      <c r="K128" s="59">
        <f t="shared" si="6"/>
        <v>0.15</v>
      </c>
      <c r="L128" s="93"/>
      <c r="M128" s="93"/>
      <c r="N128" s="13"/>
      <c r="O128" s="95"/>
    </row>
    <row r="129" spans="1:15" s="3" customFormat="1" ht="15.75">
      <c r="A129" s="59"/>
      <c r="B129" s="72" t="s">
        <v>136</v>
      </c>
      <c r="C129" s="72">
        <v>340</v>
      </c>
      <c r="D129" s="126">
        <v>119</v>
      </c>
      <c r="E129" s="115">
        <v>2000</v>
      </c>
      <c r="F129" s="143">
        <f>4200/1000</f>
        <v>4.2</v>
      </c>
      <c r="G129" s="143"/>
      <c r="H129" s="143"/>
      <c r="I129" s="143"/>
      <c r="J129" s="145">
        <f t="shared" si="5"/>
        <v>4.2</v>
      </c>
      <c r="K129" s="59"/>
      <c r="L129" s="93"/>
      <c r="M129" s="93"/>
      <c r="N129" s="13"/>
      <c r="O129" s="95"/>
    </row>
    <row r="130" spans="1:15" s="3" customFormat="1" ht="15.75">
      <c r="A130" s="59"/>
      <c r="B130" s="72" t="s">
        <v>137</v>
      </c>
      <c r="C130" s="72">
        <v>340</v>
      </c>
      <c r="D130" s="126">
        <v>123</v>
      </c>
      <c r="E130" s="115">
        <v>2000</v>
      </c>
      <c r="F130" s="143">
        <f>внебюдж!E127+бюдж!E127</f>
        <v>0</v>
      </c>
      <c r="G130" s="143">
        <f>внебюдж!F127+бюдж!F127</f>
        <v>3.9</v>
      </c>
      <c r="H130" s="143">
        <f>внебюдж!G127+бюдж!G127</f>
        <v>0</v>
      </c>
      <c r="I130" s="143">
        <f>внебюдж!H127+бюдж!H127</f>
        <v>0</v>
      </c>
      <c r="J130" s="145">
        <f t="shared" si="5"/>
        <v>3.9</v>
      </c>
      <c r="K130" s="59">
        <f t="shared" si="6"/>
        <v>0.325</v>
      </c>
      <c r="L130" s="93"/>
      <c r="M130" s="93"/>
      <c r="N130" s="13"/>
      <c r="O130" s="95"/>
    </row>
    <row r="131" spans="1:15" s="3" customFormat="1" ht="15.75">
      <c r="A131" s="59"/>
      <c r="B131" s="72" t="s">
        <v>181</v>
      </c>
      <c r="C131" s="72">
        <v>340</v>
      </c>
      <c r="D131" s="126">
        <v>120</v>
      </c>
      <c r="E131" s="115">
        <v>4000</v>
      </c>
      <c r="F131" s="143">
        <f>бюдж!E128</f>
        <v>92</v>
      </c>
      <c r="G131" s="143">
        <f>бюдж!F128</f>
        <v>65</v>
      </c>
      <c r="H131" s="143">
        <f>бюдж!G128</f>
        <v>45.862030000000004</v>
      </c>
      <c r="I131" s="143">
        <f>бюдж!H128</f>
        <v>101.6</v>
      </c>
      <c r="J131" s="145">
        <f t="shared" si="5"/>
        <v>304.46203</v>
      </c>
      <c r="K131" s="59">
        <f>J131/9</f>
        <v>33.82911444444445</v>
      </c>
      <c r="L131" s="93"/>
      <c r="M131" s="93"/>
      <c r="N131" s="13"/>
      <c r="O131" s="95"/>
    </row>
    <row r="132" spans="1:15" s="3" customFormat="1" ht="15.75">
      <c r="A132" s="59"/>
      <c r="B132" s="72" t="s">
        <v>181</v>
      </c>
      <c r="C132" s="72">
        <v>340</v>
      </c>
      <c r="D132" s="126">
        <v>120</v>
      </c>
      <c r="E132" s="115">
        <v>2000</v>
      </c>
      <c r="F132" s="143">
        <f>внебюдж!E128</f>
        <v>106.74094</v>
      </c>
      <c r="G132" s="143">
        <f>внебюдж!F128</f>
        <v>137.80968</v>
      </c>
      <c r="H132" s="143">
        <f>внебюдж!G128</f>
        <v>31.4</v>
      </c>
      <c r="I132" s="143">
        <f>внебюдж!H128</f>
        <v>153.78</v>
      </c>
      <c r="J132" s="145">
        <f t="shared" si="5"/>
        <v>429.73061999999993</v>
      </c>
      <c r="K132" s="59"/>
      <c r="L132" s="93"/>
      <c r="M132" s="93"/>
      <c r="N132" s="13"/>
      <c r="O132" s="95"/>
    </row>
    <row r="133" spans="1:15" s="3" customFormat="1" ht="15.75">
      <c r="A133" s="59"/>
      <c r="B133" s="72" t="s">
        <v>182</v>
      </c>
      <c r="C133" s="72">
        <v>340</v>
      </c>
      <c r="D133" s="126">
        <v>121</v>
      </c>
      <c r="E133" s="115">
        <v>4000</v>
      </c>
      <c r="F133" s="143">
        <f>бюдж!E129</f>
        <v>15.000000000000002</v>
      </c>
      <c r="G133" s="143">
        <f>внебюдж!F129+бюдж!F129</f>
        <v>0</v>
      </c>
      <c r="H133" s="143">
        <f>внебюдж!G129+бюдж!G129</f>
        <v>0</v>
      </c>
      <c r="I133" s="143">
        <f>внебюдж!H129+бюдж!H129</f>
        <v>15.000000000000002</v>
      </c>
      <c r="J133" s="145">
        <f t="shared" si="5"/>
        <v>30.000000000000004</v>
      </c>
      <c r="K133" s="59">
        <f aca="true" t="shared" si="7" ref="K133:K142">J133/12</f>
        <v>2.5000000000000004</v>
      </c>
      <c r="L133" s="93"/>
      <c r="M133" s="93"/>
      <c r="N133" s="13"/>
      <c r="O133" s="95"/>
    </row>
    <row r="134" spans="1:15" s="3" customFormat="1" ht="15.75">
      <c r="A134" s="59"/>
      <c r="B134" s="72" t="s">
        <v>255</v>
      </c>
      <c r="C134" s="72">
        <v>340</v>
      </c>
      <c r="D134" s="126">
        <v>123</v>
      </c>
      <c r="E134" s="115">
        <v>4000</v>
      </c>
      <c r="F134" s="143">
        <f>бюдж!E130</f>
        <v>0</v>
      </c>
      <c r="G134" s="143">
        <f>бюдж!F130</f>
        <v>0</v>
      </c>
      <c r="H134" s="143">
        <f>бюдж!G130</f>
        <v>0</v>
      </c>
      <c r="I134" s="143">
        <f>бюдж!H130</f>
        <v>0</v>
      </c>
      <c r="J134" s="145">
        <f t="shared" si="5"/>
        <v>0</v>
      </c>
      <c r="K134" s="59">
        <f t="shared" si="7"/>
        <v>0</v>
      </c>
      <c r="L134" s="93"/>
      <c r="M134" s="93"/>
      <c r="N134" s="13"/>
      <c r="O134" s="95"/>
    </row>
    <row r="135" spans="1:15" s="3" customFormat="1" ht="15.75">
      <c r="A135" s="59"/>
      <c r="B135" s="72" t="s">
        <v>255</v>
      </c>
      <c r="C135" s="72">
        <v>340</v>
      </c>
      <c r="D135" s="126">
        <v>123</v>
      </c>
      <c r="E135" s="115">
        <v>2000</v>
      </c>
      <c r="F135" s="143">
        <f>внебюдж!E130</f>
        <v>9</v>
      </c>
      <c r="G135" s="143">
        <f>внебюдж!F130</f>
        <v>25.59</v>
      </c>
      <c r="H135" s="143">
        <f>внебюдж!G130</f>
        <v>0</v>
      </c>
      <c r="I135" s="143">
        <f>внебюдж!H130</f>
        <v>74.15</v>
      </c>
      <c r="J135" s="145">
        <f t="shared" si="5"/>
        <v>108.74000000000001</v>
      </c>
      <c r="K135" s="59"/>
      <c r="L135" s="93"/>
      <c r="M135" s="93"/>
      <c r="N135" s="13"/>
      <c r="O135" s="95"/>
    </row>
    <row r="136" spans="1:15" s="3" customFormat="1" ht="15.75">
      <c r="A136" s="59"/>
      <c r="B136" s="72" t="s">
        <v>186</v>
      </c>
      <c r="C136" s="72">
        <v>340</v>
      </c>
      <c r="D136" s="126">
        <v>112</v>
      </c>
      <c r="E136" s="115">
        <v>2000</v>
      </c>
      <c r="F136" s="143">
        <f>внебюдж!E131</f>
        <v>78.28</v>
      </c>
      <c r="G136" s="143">
        <f>внебюдж!F131</f>
        <v>8.19997</v>
      </c>
      <c r="H136" s="143">
        <f>внебюдж!G131</f>
        <v>0</v>
      </c>
      <c r="I136" s="143">
        <f>внебюдж!H131</f>
        <v>0</v>
      </c>
      <c r="J136" s="145">
        <f t="shared" si="5"/>
        <v>86.47997000000001</v>
      </c>
      <c r="K136" s="59">
        <f t="shared" si="7"/>
        <v>7.206664166666667</v>
      </c>
      <c r="L136" s="93"/>
      <c r="M136" s="93"/>
      <c r="N136" s="13"/>
      <c r="O136" s="95"/>
    </row>
    <row r="137" spans="1:15" s="3" customFormat="1" ht="15.75" hidden="1">
      <c r="A137" s="59"/>
      <c r="B137" s="72" t="s">
        <v>187</v>
      </c>
      <c r="C137" s="72"/>
      <c r="D137" s="72"/>
      <c r="E137" s="115"/>
      <c r="F137" s="143"/>
      <c r="G137" s="143"/>
      <c r="H137" s="143"/>
      <c r="I137" s="143">
        <f>внебюдж!H132+бюдж!H132</f>
        <v>0</v>
      </c>
      <c r="J137" s="145">
        <f t="shared" si="5"/>
        <v>0</v>
      </c>
      <c r="K137" s="59">
        <f t="shared" si="7"/>
        <v>0</v>
      </c>
      <c r="L137" s="93"/>
      <c r="M137" s="93"/>
      <c r="N137" s="13"/>
      <c r="O137" s="95"/>
    </row>
    <row r="138" spans="1:15" s="3" customFormat="1" ht="15.75" hidden="1">
      <c r="A138" s="59"/>
      <c r="B138" s="72" t="s">
        <v>242</v>
      </c>
      <c r="C138" s="72"/>
      <c r="D138" s="72"/>
      <c r="E138" s="115"/>
      <c r="F138" s="143">
        <f>внебюдж!E133+бюдж!E133</f>
        <v>0</v>
      </c>
      <c r="G138" s="143"/>
      <c r="H138" s="143"/>
      <c r="I138" s="143">
        <f>внебюдж!H133+бюдж!H133</f>
        <v>0</v>
      </c>
      <c r="J138" s="145">
        <f t="shared" si="5"/>
        <v>0</v>
      </c>
      <c r="K138" s="59"/>
      <c r="L138" s="93"/>
      <c r="M138" s="93"/>
      <c r="N138" s="13"/>
      <c r="O138" s="95"/>
    </row>
    <row r="139" spans="1:15" s="3" customFormat="1" ht="15.75" hidden="1">
      <c r="A139" s="59"/>
      <c r="B139" s="72" t="s">
        <v>138</v>
      </c>
      <c r="C139" s="72"/>
      <c r="D139" s="72"/>
      <c r="E139" s="115"/>
      <c r="F139" s="143"/>
      <c r="G139" s="143"/>
      <c r="H139" s="143"/>
      <c r="I139" s="143"/>
      <c r="J139" s="145">
        <f t="shared" si="5"/>
        <v>0</v>
      </c>
      <c r="K139" s="59">
        <f t="shared" si="7"/>
        <v>0</v>
      </c>
      <c r="L139" s="93"/>
      <c r="M139" s="93"/>
      <c r="N139" s="13"/>
      <c r="O139" s="95"/>
    </row>
    <row r="140" spans="1:15" s="3" customFormat="1" ht="15.75" hidden="1">
      <c r="A140" s="59"/>
      <c r="B140" s="59" t="s">
        <v>139</v>
      </c>
      <c r="C140" s="59"/>
      <c r="D140" s="59"/>
      <c r="E140" s="115"/>
      <c r="F140" s="143"/>
      <c r="G140" s="143"/>
      <c r="H140" s="143"/>
      <c r="I140" s="143"/>
      <c r="J140" s="145">
        <f t="shared" si="5"/>
        <v>0</v>
      </c>
      <c r="K140" s="59">
        <f t="shared" si="7"/>
        <v>0</v>
      </c>
      <c r="L140" s="13"/>
      <c r="M140" s="93"/>
      <c r="N140" s="13"/>
      <c r="O140" s="95"/>
    </row>
    <row r="141" spans="1:15" s="3" customFormat="1" ht="15.75" hidden="1">
      <c r="A141" s="59"/>
      <c r="B141" s="59" t="s">
        <v>140</v>
      </c>
      <c r="C141" s="59"/>
      <c r="D141" s="59"/>
      <c r="E141" s="115"/>
      <c r="F141" s="143"/>
      <c r="G141" s="143"/>
      <c r="H141" s="143"/>
      <c r="I141" s="143"/>
      <c r="J141" s="145">
        <f t="shared" si="5"/>
        <v>0</v>
      </c>
      <c r="K141" s="59">
        <f t="shared" si="7"/>
        <v>0</v>
      </c>
      <c r="L141" s="13"/>
      <c r="M141" s="93"/>
      <c r="N141" s="13"/>
      <c r="O141" s="95"/>
    </row>
    <row r="142" spans="1:15" s="3" customFormat="1" ht="15.75" hidden="1">
      <c r="A142" s="59"/>
      <c r="B142" s="59" t="s">
        <v>141</v>
      </c>
      <c r="C142" s="59"/>
      <c r="D142" s="59"/>
      <c r="E142" s="115"/>
      <c r="F142" s="143"/>
      <c r="G142" s="143"/>
      <c r="H142" s="143"/>
      <c r="I142" s="143"/>
      <c r="J142" s="145">
        <f t="shared" si="5"/>
        <v>0</v>
      </c>
      <c r="K142" s="59">
        <f t="shared" si="7"/>
        <v>0</v>
      </c>
      <c r="L142" s="13"/>
      <c r="M142" s="93"/>
      <c r="N142" s="13"/>
      <c r="O142" s="95"/>
    </row>
    <row r="143" spans="1:16" s="3" customFormat="1" ht="31.5">
      <c r="A143" s="59"/>
      <c r="B143" s="74" t="s">
        <v>236</v>
      </c>
      <c r="C143" s="74"/>
      <c r="D143" s="74"/>
      <c r="E143" s="58"/>
      <c r="F143" s="146">
        <f>F69+F71-F78</f>
        <v>0</v>
      </c>
      <c r="G143" s="146">
        <f>G69+G71-G78</f>
        <v>0</v>
      </c>
      <c r="H143" s="146">
        <f>H69+H71-H78</f>
        <v>0</v>
      </c>
      <c r="I143" s="146">
        <f>I69+I71-I78</f>
        <v>0</v>
      </c>
      <c r="J143" s="146">
        <f>J69+J71-J78</f>
        <v>0</v>
      </c>
      <c r="K143" s="59"/>
      <c r="L143" s="94"/>
      <c r="M143" s="94"/>
      <c r="N143" s="94"/>
      <c r="O143" s="95"/>
      <c r="P143" s="95"/>
    </row>
    <row r="144" spans="1:14" s="3" customFormat="1" ht="15.75">
      <c r="A144" s="13"/>
      <c r="B144" s="76" t="s">
        <v>142</v>
      </c>
      <c r="C144" s="76"/>
      <c r="D144" s="76"/>
      <c r="E144" s="118"/>
      <c r="F144" s="131"/>
      <c r="G144" s="131"/>
      <c r="H144" s="131"/>
      <c r="I144" s="131"/>
      <c r="J144" s="131"/>
      <c r="K144" s="13"/>
      <c r="L144" s="13"/>
      <c r="M144" s="13"/>
      <c r="N144" s="13"/>
    </row>
    <row r="145" spans="1:14" s="3" customFormat="1" ht="15.75">
      <c r="A145" s="13"/>
      <c r="B145" s="75"/>
      <c r="C145" s="75"/>
      <c r="D145" s="75"/>
      <c r="E145" s="43"/>
      <c r="F145" s="131"/>
      <c r="G145" s="131"/>
      <c r="H145" s="131"/>
      <c r="I145" s="131"/>
      <c r="J145" s="131"/>
      <c r="K145" s="13"/>
      <c r="L145" s="13"/>
      <c r="M145" s="13"/>
      <c r="N145" s="13"/>
    </row>
    <row r="146" spans="1:14" s="3" customFormat="1" ht="31.5">
      <c r="A146" s="13"/>
      <c r="B146" s="77" t="s">
        <v>286</v>
      </c>
      <c r="C146" s="77"/>
      <c r="D146" s="77"/>
      <c r="E146" s="119"/>
      <c r="F146" s="147" t="s">
        <v>144</v>
      </c>
      <c r="G146" s="131"/>
      <c r="H146" s="131"/>
      <c r="I146" s="131"/>
      <c r="J146" s="131"/>
      <c r="K146" s="13"/>
      <c r="L146" s="13"/>
      <c r="M146" s="13"/>
      <c r="N146" s="13"/>
    </row>
    <row r="147" spans="1:14" s="3" customFormat="1" ht="15.75">
      <c r="A147" s="13"/>
      <c r="B147" s="78"/>
      <c r="C147" s="78"/>
      <c r="D147" s="78"/>
      <c r="E147" s="120"/>
      <c r="F147" s="148"/>
      <c r="G147" s="131"/>
      <c r="H147" s="131"/>
      <c r="I147" s="131"/>
      <c r="J147" s="131"/>
      <c r="K147" s="13"/>
      <c r="L147" s="13"/>
      <c r="M147" s="13"/>
      <c r="N147" s="13"/>
    </row>
    <row r="148" spans="1:14" s="3" customFormat="1" ht="13.5" customHeight="1">
      <c r="A148" s="13"/>
      <c r="B148" s="78"/>
      <c r="C148" s="78"/>
      <c r="D148" s="78"/>
      <c r="E148" s="120"/>
      <c r="F148" s="148"/>
      <c r="G148" s="131"/>
      <c r="H148" s="131"/>
      <c r="I148" s="131"/>
      <c r="J148" s="131"/>
      <c r="K148" s="13"/>
      <c r="L148" s="13"/>
      <c r="M148" s="13"/>
      <c r="N148" s="13"/>
    </row>
    <row r="149" spans="1:14" s="3" customFormat="1" ht="15.75">
      <c r="A149" s="13"/>
      <c r="B149" s="78"/>
      <c r="C149" s="78"/>
      <c r="D149" s="78"/>
      <c r="E149" s="120"/>
      <c r="F149" s="148"/>
      <c r="G149" s="131"/>
      <c r="H149" s="131"/>
      <c r="I149" s="131"/>
      <c r="J149" s="131"/>
      <c r="K149" s="13"/>
      <c r="L149" s="13"/>
      <c r="M149" s="13"/>
      <c r="N149" s="13"/>
    </row>
    <row r="150" spans="1:14" s="3" customFormat="1" ht="33" customHeight="1">
      <c r="A150" s="13"/>
      <c r="B150" s="236" t="s">
        <v>145</v>
      </c>
      <c r="C150" s="236"/>
      <c r="D150" s="236"/>
      <c r="E150" s="236"/>
      <c r="F150" s="236"/>
      <c r="G150" s="131"/>
      <c r="H150" s="131"/>
      <c r="I150" s="131"/>
      <c r="J150" s="131"/>
      <c r="K150" s="13"/>
      <c r="L150" s="13"/>
      <c r="M150" s="13"/>
      <c r="N150" s="13"/>
    </row>
    <row r="151" spans="1:14" s="3" customFormat="1" ht="15.75">
      <c r="A151" s="13"/>
      <c r="B151" s="75"/>
      <c r="C151" s="75"/>
      <c r="D151" s="75"/>
      <c r="E151" s="43"/>
      <c r="F151" s="131"/>
      <c r="G151" s="131"/>
      <c r="H151" s="131"/>
      <c r="I151" s="131"/>
      <c r="J151" s="131"/>
      <c r="K151" s="13"/>
      <c r="L151" s="13"/>
      <c r="M151" s="13"/>
      <c r="N151" s="13"/>
    </row>
    <row r="152" spans="1:14" s="3" customFormat="1" ht="15.75">
      <c r="A152" s="13"/>
      <c r="B152" s="75"/>
      <c r="C152" s="75"/>
      <c r="D152" s="75"/>
      <c r="E152" s="43"/>
      <c r="F152" s="131"/>
      <c r="G152" s="131"/>
      <c r="H152" s="131"/>
      <c r="I152" s="131"/>
      <c r="J152" s="131"/>
      <c r="K152" s="13"/>
      <c r="L152" s="13"/>
      <c r="M152" s="13"/>
      <c r="N152" s="13"/>
    </row>
    <row r="153" spans="1:14" s="3" customFormat="1" ht="63">
      <c r="A153" s="13"/>
      <c r="B153" s="75" t="s">
        <v>237</v>
      </c>
      <c r="C153" s="75"/>
      <c r="D153" s="75"/>
      <c r="E153" s="43"/>
      <c r="F153" s="149"/>
      <c r="G153" s="150"/>
      <c r="H153" s="151" t="s">
        <v>171</v>
      </c>
      <c r="I153" s="151"/>
      <c r="J153" s="151"/>
      <c r="K153" s="36"/>
      <c r="L153" s="36"/>
      <c r="M153" s="13"/>
      <c r="N153" s="13"/>
    </row>
    <row r="154" spans="1:14" s="3" customFormat="1" ht="17.25" customHeight="1">
      <c r="A154" s="13"/>
      <c r="B154" s="82" t="s">
        <v>1</v>
      </c>
      <c r="C154" s="82"/>
      <c r="D154" s="82"/>
      <c r="E154" s="121"/>
      <c r="F154" s="237" t="s">
        <v>239</v>
      </c>
      <c r="G154" s="237"/>
      <c r="H154" s="131"/>
      <c r="I154" s="131" t="s">
        <v>164</v>
      </c>
      <c r="J154" s="131"/>
      <c r="K154" s="13"/>
      <c r="L154" s="13"/>
      <c r="M154" s="13"/>
      <c r="N154" s="13"/>
    </row>
    <row r="155" spans="1:14" s="3" customFormat="1" ht="17.25" customHeight="1">
      <c r="A155" s="13"/>
      <c r="B155" s="82"/>
      <c r="C155" s="82"/>
      <c r="D155" s="82"/>
      <c r="E155" s="121"/>
      <c r="F155" s="131"/>
      <c r="G155" s="131"/>
      <c r="H155" s="131"/>
      <c r="I155" s="131"/>
      <c r="J155" s="131" t="s">
        <v>223</v>
      </c>
      <c r="K155" s="13"/>
      <c r="L155" s="13"/>
      <c r="M155" s="75"/>
      <c r="N155" s="13"/>
    </row>
    <row r="156" spans="1:14" s="3" customFormat="1" ht="17.25" customHeight="1">
      <c r="A156" s="13"/>
      <c r="B156" s="82"/>
      <c r="C156" s="82"/>
      <c r="D156" s="82"/>
      <c r="E156" s="121"/>
      <c r="F156" s="131"/>
      <c r="G156" s="131"/>
      <c r="H156" s="131"/>
      <c r="I156" s="131"/>
      <c r="J156" s="152" t="s">
        <v>163</v>
      </c>
      <c r="K156" s="13"/>
      <c r="L156" s="13"/>
      <c r="M156" s="75"/>
      <c r="N156" s="13"/>
    </row>
    <row r="157" spans="1:14" s="3" customFormat="1" ht="17.25" customHeight="1">
      <c r="A157" s="13"/>
      <c r="B157" s="82"/>
      <c r="C157" s="82"/>
      <c r="D157" s="82"/>
      <c r="E157" s="121"/>
      <c r="F157" s="131"/>
      <c r="G157" s="131"/>
      <c r="H157" s="131"/>
      <c r="I157" s="131"/>
      <c r="J157" s="131"/>
      <c r="K157" s="13"/>
      <c r="L157" s="13"/>
      <c r="M157" s="75"/>
      <c r="N157" s="13"/>
    </row>
    <row r="158" spans="1:14" s="3" customFormat="1" ht="15.75">
      <c r="A158" s="13"/>
      <c r="B158" s="75" t="s">
        <v>238</v>
      </c>
      <c r="C158" s="75"/>
      <c r="D158" s="75"/>
      <c r="E158" s="43"/>
      <c r="F158" s="131"/>
      <c r="G158" s="150"/>
      <c r="H158" s="153" t="s">
        <v>172</v>
      </c>
      <c r="I158" s="153"/>
      <c r="J158" s="131"/>
      <c r="K158" s="13"/>
      <c r="L158" s="13"/>
      <c r="M158" s="13"/>
      <c r="N158" s="13"/>
    </row>
    <row r="159" spans="1:14" s="3" customFormat="1" ht="18.75" customHeight="1">
      <c r="A159" s="13"/>
      <c r="B159" s="81" t="s">
        <v>162</v>
      </c>
      <c r="C159" s="81"/>
      <c r="D159" s="81"/>
      <c r="E159" s="122"/>
      <c r="F159" s="237" t="s">
        <v>239</v>
      </c>
      <c r="G159" s="237"/>
      <c r="H159" s="131"/>
      <c r="I159" s="131" t="s">
        <v>164</v>
      </c>
      <c r="J159" s="131"/>
      <c r="K159" s="13"/>
      <c r="L159" s="13"/>
      <c r="M159" s="13"/>
      <c r="N159" s="13"/>
    </row>
    <row r="160" spans="1:14" s="3" customFormat="1" ht="18" customHeight="1">
      <c r="A160" s="13"/>
      <c r="B160" s="75" t="s">
        <v>146</v>
      </c>
      <c r="C160" s="75"/>
      <c r="D160" s="75"/>
      <c r="E160" s="43"/>
      <c r="F160" s="131"/>
      <c r="G160" s="131"/>
      <c r="H160" s="131"/>
      <c r="I160" s="131"/>
      <c r="J160" s="131" t="s">
        <v>223</v>
      </c>
      <c r="K160" s="13"/>
      <c r="L160" s="13"/>
      <c r="M160" s="13"/>
      <c r="N160" s="13"/>
    </row>
    <row r="161" ht="110.25">
      <c r="J161" s="152" t="s">
        <v>163</v>
      </c>
    </row>
    <row r="174" ht="15"/>
    <row r="175" ht="15"/>
    <row r="176" ht="15"/>
    <row r="177" ht="15"/>
    <row r="178" ht="15"/>
    <row r="179"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6" ht="15"/>
    <row r="277" ht="15"/>
    <row r="278" ht="15"/>
    <row r="279" ht="15"/>
    <row r="280" ht="15"/>
    <row r="281" ht="15"/>
    <row r="282" ht="15"/>
    <row r="283" ht="15"/>
    <row r="284" ht="15"/>
    <row r="285" ht="15"/>
    <row r="286" ht="15"/>
    <row r="287" ht="15"/>
  </sheetData>
  <sheetProtection/>
  <mergeCells count="66">
    <mergeCell ref="B25:B27"/>
    <mergeCell ref="F25:G25"/>
    <mergeCell ref="H25:M25"/>
    <mergeCell ref="F26:G26"/>
    <mergeCell ref="H26:J26"/>
    <mergeCell ref="L26:L27"/>
    <mergeCell ref="M26:M27"/>
    <mergeCell ref="I27:J27"/>
    <mergeCell ref="H28:J28"/>
    <mergeCell ref="I29:J29"/>
    <mergeCell ref="I30:J30"/>
    <mergeCell ref="I31:J31"/>
    <mergeCell ref="B32:M32"/>
    <mergeCell ref="B33:M33"/>
    <mergeCell ref="H34:J34"/>
    <mergeCell ref="H35:J35"/>
    <mergeCell ref="H36:J36"/>
    <mergeCell ref="B37:M37"/>
    <mergeCell ref="F38:G38"/>
    <mergeCell ref="H38:J38"/>
    <mergeCell ref="F39:G39"/>
    <mergeCell ref="H39:J39"/>
    <mergeCell ref="F40:G40"/>
    <mergeCell ref="H40:J40"/>
    <mergeCell ref="F41:G41"/>
    <mergeCell ref="H41:J41"/>
    <mergeCell ref="F42:G42"/>
    <mergeCell ref="H42:J42"/>
    <mergeCell ref="F43:G43"/>
    <mergeCell ref="H43:J43"/>
    <mergeCell ref="F44:G44"/>
    <mergeCell ref="H44:J44"/>
    <mergeCell ref="F45:G45"/>
    <mergeCell ref="H45:J45"/>
    <mergeCell ref="F46:G46"/>
    <mergeCell ref="H46:J46"/>
    <mergeCell ref="F47:G47"/>
    <mergeCell ref="H47:J47"/>
    <mergeCell ref="B48:M48"/>
    <mergeCell ref="F49:G49"/>
    <mergeCell ref="H49:J49"/>
    <mergeCell ref="F50:G50"/>
    <mergeCell ref="H50:J50"/>
    <mergeCell ref="B51:M51"/>
    <mergeCell ref="F52:G52"/>
    <mergeCell ref="H52:I52"/>
    <mergeCell ref="J52:L52"/>
    <mergeCell ref="F53:G53"/>
    <mergeCell ref="H53:I53"/>
    <mergeCell ref="J53:L53"/>
    <mergeCell ref="B54:M54"/>
    <mergeCell ref="F55:G55"/>
    <mergeCell ref="H55:I55"/>
    <mergeCell ref="J55:L55"/>
    <mergeCell ref="F56:G56"/>
    <mergeCell ref="H56:I56"/>
    <mergeCell ref="J56:L56"/>
    <mergeCell ref="B150:F150"/>
    <mergeCell ref="F154:G154"/>
    <mergeCell ref="F159:G159"/>
    <mergeCell ref="F57:G57"/>
    <mergeCell ref="H57:I57"/>
    <mergeCell ref="J57:L57"/>
    <mergeCell ref="F58:G58"/>
    <mergeCell ref="H58:I58"/>
    <mergeCell ref="J58:L58"/>
  </mergeCells>
  <printOptions/>
  <pageMargins left="0.31" right="0.17" top="0.3" bottom="0.35433070866141736" header="0.31496062992125984" footer="0.31496062992125984"/>
  <pageSetup horizontalDpi="600" verticalDpi="600" orientation="portrait" paperSize="9" scale="70" r:id="rId3"/>
  <rowBreaks count="1" manualBreakCount="1">
    <brk id="14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Эконом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Ирина К</cp:lastModifiedBy>
  <cp:lastPrinted>2013-11-26T23:58:48Z</cp:lastPrinted>
  <dcterms:created xsi:type="dcterms:W3CDTF">2011-11-12T06:00:45Z</dcterms:created>
  <dcterms:modified xsi:type="dcterms:W3CDTF">2016-11-07T07:02:37Z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